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1020" yWindow="0" windowWidth="27600" windowHeight="16280" tabRatio="500" firstSheet="1" activeTab="8"/>
  </bookViews>
  <sheets>
    <sheet name="am1" sheetId="1" r:id="rId1"/>
    <sheet name="am2" sheetId="2" r:id="rId2"/>
    <sheet name="8Cg-1 pm" sheetId="7" r:id="rId3"/>
    <sheet name="4Cg-2 pm" sheetId="8" r:id="rId4"/>
    <sheet name="4Cg-1 24h" sheetId="3" r:id="rId5"/>
    <sheet name="4Cg-2 24h" sheetId="4" r:id="rId6"/>
    <sheet name="8Cg-1 24h" sheetId="5" r:id="rId7"/>
    <sheet name="8Cg-2 24h" sheetId="6" r:id="rId8"/>
    <sheet name="start 111011" sheetId="9" r:id="rId9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9" l="1"/>
  <c r="B25" i="9"/>
  <c r="I18" i="9"/>
  <c r="G18" i="9"/>
  <c r="K18" i="9"/>
  <c r="L18" i="9"/>
  <c r="N18" i="9"/>
  <c r="O18" i="9"/>
  <c r="M18" i="9"/>
  <c r="I17" i="9"/>
  <c r="G17" i="9"/>
  <c r="K17" i="9"/>
  <c r="L17" i="9"/>
  <c r="N17" i="9"/>
  <c r="O17" i="9"/>
  <c r="M17" i="9"/>
  <c r="I16" i="9"/>
  <c r="G16" i="9"/>
  <c r="K16" i="9"/>
  <c r="L16" i="9"/>
  <c r="N16" i="9"/>
  <c r="O16" i="9"/>
  <c r="M16" i="9"/>
  <c r="I15" i="9"/>
  <c r="G15" i="9"/>
  <c r="K15" i="9"/>
  <c r="L15" i="9"/>
  <c r="N15" i="9"/>
  <c r="O15" i="9"/>
  <c r="M15" i="9"/>
  <c r="I14" i="9"/>
  <c r="G14" i="9"/>
  <c r="K14" i="9"/>
  <c r="L14" i="9"/>
  <c r="N14" i="9"/>
  <c r="O14" i="9"/>
  <c r="M14" i="9"/>
  <c r="I13" i="9"/>
  <c r="G13" i="9"/>
  <c r="K13" i="9"/>
  <c r="L13" i="9"/>
  <c r="N13" i="9"/>
  <c r="O13" i="9"/>
  <c r="M13" i="9"/>
  <c r="I12" i="9"/>
  <c r="G12" i="9"/>
  <c r="K12" i="9"/>
  <c r="L12" i="9"/>
  <c r="N12" i="9"/>
  <c r="O12" i="9"/>
  <c r="M12" i="9"/>
  <c r="I11" i="9"/>
  <c r="G11" i="9"/>
  <c r="K11" i="9"/>
  <c r="L11" i="9"/>
  <c r="N11" i="9"/>
  <c r="O11" i="9"/>
  <c r="M11" i="9"/>
  <c r="I10" i="9"/>
  <c r="G10" i="9"/>
  <c r="K10" i="9"/>
  <c r="L10" i="9"/>
  <c r="N10" i="9"/>
  <c r="O10" i="9"/>
  <c r="M10" i="9"/>
  <c r="I9" i="9"/>
  <c r="G9" i="9"/>
  <c r="K9" i="9"/>
  <c r="L9" i="9"/>
  <c r="N9" i="9"/>
  <c r="O9" i="9"/>
  <c r="M9" i="9"/>
  <c r="I8" i="9"/>
  <c r="G8" i="9"/>
  <c r="K8" i="9"/>
  <c r="L8" i="9"/>
  <c r="N8" i="9"/>
  <c r="O8" i="9"/>
  <c r="M8" i="9"/>
  <c r="I7" i="9"/>
  <c r="G7" i="9"/>
  <c r="K7" i="9"/>
  <c r="L7" i="9"/>
  <c r="N7" i="9"/>
  <c r="O7" i="9"/>
  <c r="M7" i="9"/>
  <c r="I6" i="9"/>
  <c r="G6" i="9"/>
  <c r="K6" i="9"/>
  <c r="L6" i="9"/>
  <c r="N6" i="9"/>
  <c r="O6" i="9"/>
  <c r="M6" i="9"/>
  <c r="I5" i="9"/>
  <c r="G5" i="9"/>
  <c r="K5" i="9"/>
  <c r="L5" i="9"/>
  <c r="N5" i="9"/>
  <c r="O5" i="9"/>
  <c r="M5" i="9"/>
  <c r="I4" i="9"/>
  <c r="G4" i="9"/>
  <c r="K4" i="9"/>
  <c r="L4" i="9"/>
  <c r="N4" i="9"/>
  <c r="O4" i="9"/>
  <c r="M4" i="9"/>
  <c r="I3" i="9"/>
  <c r="G3" i="9"/>
  <c r="K3" i="9"/>
  <c r="L3" i="9"/>
  <c r="N3" i="9"/>
  <c r="O3" i="9"/>
  <c r="M3" i="9"/>
  <c r="I2" i="9"/>
  <c r="G2" i="9"/>
  <c r="K2" i="9"/>
  <c r="L2" i="9"/>
  <c r="N2" i="9"/>
  <c r="M2" i="9"/>
  <c r="B26" i="6"/>
  <c r="B25" i="6"/>
  <c r="B26" i="5"/>
  <c r="B25" i="5"/>
  <c r="B26" i="4"/>
  <c r="B25" i="4"/>
  <c r="B26" i="3"/>
  <c r="B25" i="3"/>
  <c r="I18" i="8"/>
  <c r="G18" i="8"/>
  <c r="K18" i="8"/>
  <c r="L18" i="8"/>
  <c r="N18" i="8"/>
  <c r="O18" i="8"/>
  <c r="P18" i="8"/>
  <c r="M18" i="8"/>
  <c r="I17" i="8"/>
  <c r="G17" i="8"/>
  <c r="K17" i="8"/>
  <c r="L17" i="8"/>
  <c r="N17" i="8"/>
  <c r="O17" i="8"/>
  <c r="P17" i="8"/>
  <c r="M17" i="8"/>
  <c r="I16" i="8"/>
  <c r="G16" i="8"/>
  <c r="K16" i="8"/>
  <c r="L16" i="8"/>
  <c r="N16" i="8"/>
  <c r="O16" i="8"/>
  <c r="P16" i="8"/>
  <c r="M16" i="8"/>
  <c r="I15" i="8"/>
  <c r="G15" i="8"/>
  <c r="K15" i="8"/>
  <c r="L15" i="8"/>
  <c r="N15" i="8"/>
  <c r="O15" i="8"/>
  <c r="P15" i="8"/>
  <c r="M15" i="8"/>
  <c r="I14" i="8"/>
  <c r="G14" i="8"/>
  <c r="K14" i="8"/>
  <c r="L14" i="8"/>
  <c r="N14" i="8"/>
  <c r="O14" i="8"/>
  <c r="P14" i="8"/>
  <c r="M14" i="8"/>
  <c r="I13" i="8"/>
  <c r="G13" i="8"/>
  <c r="K13" i="8"/>
  <c r="L13" i="8"/>
  <c r="N13" i="8"/>
  <c r="O13" i="8"/>
  <c r="P13" i="8"/>
  <c r="M13" i="8"/>
  <c r="I12" i="8"/>
  <c r="G12" i="8"/>
  <c r="K12" i="8"/>
  <c r="L12" i="8"/>
  <c r="N12" i="8"/>
  <c r="O12" i="8"/>
  <c r="P12" i="8"/>
  <c r="M12" i="8"/>
  <c r="I11" i="8"/>
  <c r="G11" i="8"/>
  <c r="K11" i="8"/>
  <c r="L11" i="8"/>
  <c r="N11" i="8"/>
  <c r="O11" i="8"/>
  <c r="P11" i="8"/>
  <c r="M11" i="8"/>
  <c r="I10" i="8"/>
  <c r="G10" i="8"/>
  <c r="K10" i="8"/>
  <c r="L10" i="8"/>
  <c r="N10" i="8"/>
  <c r="O10" i="8"/>
  <c r="P10" i="8"/>
  <c r="M10" i="8"/>
  <c r="I9" i="8"/>
  <c r="G9" i="8"/>
  <c r="K9" i="8"/>
  <c r="L9" i="8"/>
  <c r="N9" i="8"/>
  <c r="O9" i="8"/>
  <c r="P9" i="8"/>
  <c r="M9" i="8"/>
  <c r="I8" i="8"/>
  <c r="G8" i="8"/>
  <c r="K8" i="8"/>
  <c r="L8" i="8"/>
  <c r="N8" i="8"/>
  <c r="O8" i="8"/>
  <c r="P8" i="8"/>
  <c r="M8" i="8"/>
  <c r="I7" i="8"/>
  <c r="G7" i="8"/>
  <c r="K7" i="8"/>
  <c r="L7" i="8"/>
  <c r="N7" i="8"/>
  <c r="O7" i="8"/>
  <c r="P7" i="8"/>
  <c r="M7" i="8"/>
  <c r="I6" i="8"/>
  <c r="G6" i="8"/>
  <c r="K6" i="8"/>
  <c r="L6" i="8"/>
  <c r="N6" i="8"/>
  <c r="O6" i="8"/>
  <c r="P6" i="8"/>
  <c r="M6" i="8"/>
  <c r="I5" i="8"/>
  <c r="G5" i="8"/>
  <c r="K5" i="8"/>
  <c r="L5" i="8"/>
  <c r="N5" i="8"/>
  <c r="O5" i="8"/>
  <c r="P5" i="8"/>
  <c r="M5" i="8"/>
  <c r="I4" i="8"/>
  <c r="G4" i="8"/>
  <c r="K4" i="8"/>
  <c r="L4" i="8"/>
  <c r="N4" i="8"/>
  <c r="O4" i="8"/>
  <c r="P4" i="8"/>
  <c r="M4" i="8"/>
  <c r="I3" i="8"/>
  <c r="G3" i="8"/>
  <c r="K3" i="8"/>
  <c r="L3" i="8"/>
  <c r="N3" i="8"/>
  <c r="O3" i="8"/>
  <c r="P3" i="8"/>
  <c r="M3" i="8"/>
  <c r="I2" i="8"/>
  <c r="G2" i="8"/>
  <c r="K2" i="8"/>
  <c r="L2" i="8"/>
  <c r="N2" i="8"/>
  <c r="M2" i="8"/>
  <c r="I18" i="7"/>
  <c r="G18" i="7"/>
  <c r="K18" i="7"/>
  <c r="L18" i="7"/>
  <c r="N18" i="7"/>
  <c r="O18" i="7"/>
  <c r="P18" i="7"/>
  <c r="M18" i="7"/>
  <c r="I17" i="7"/>
  <c r="G17" i="7"/>
  <c r="K17" i="7"/>
  <c r="L17" i="7"/>
  <c r="N17" i="7"/>
  <c r="O17" i="7"/>
  <c r="P17" i="7"/>
  <c r="M17" i="7"/>
  <c r="I16" i="7"/>
  <c r="G16" i="7"/>
  <c r="K16" i="7"/>
  <c r="L16" i="7"/>
  <c r="N16" i="7"/>
  <c r="O16" i="7"/>
  <c r="P16" i="7"/>
  <c r="M16" i="7"/>
  <c r="I15" i="7"/>
  <c r="G15" i="7"/>
  <c r="K15" i="7"/>
  <c r="L15" i="7"/>
  <c r="N15" i="7"/>
  <c r="O15" i="7"/>
  <c r="P15" i="7"/>
  <c r="M15" i="7"/>
  <c r="I14" i="7"/>
  <c r="G14" i="7"/>
  <c r="K14" i="7"/>
  <c r="L14" i="7"/>
  <c r="N14" i="7"/>
  <c r="O14" i="7"/>
  <c r="P14" i="7"/>
  <c r="M14" i="7"/>
  <c r="I13" i="7"/>
  <c r="G13" i="7"/>
  <c r="K13" i="7"/>
  <c r="L13" i="7"/>
  <c r="N13" i="7"/>
  <c r="O13" i="7"/>
  <c r="P13" i="7"/>
  <c r="M13" i="7"/>
  <c r="I12" i="7"/>
  <c r="G12" i="7"/>
  <c r="K12" i="7"/>
  <c r="L12" i="7"/>
  <c r="N12" i="7"/>
  <c r="O12" i="7"/>
  <c r="P12" i="7"/>
  <c r="M12" i="7"/>
  <c r="I11" i="7"/>
  <c r="G11" i="7"/>
  <c r="K11" i="7"/>
  <c r="L11" i="7"/>
  <c r="N11" i="7"/>
  <c r="O11" i="7"/>
  <c r="P11" i="7"/>
  <c r="M11" i="7"/>
  <c r="I10" i="7"/>
  <c r="G10" i="7"/>
  <c r="K10" i="7"/>
  <c r="L10" i="7"/>
  <c r="N10" i="7"/>
  <c r="O10" i="7"/>
  <c r="P10" i="7"/>
  <c r="M10" i="7"/>
  <c r="I9" i="7"/>
  <c r="G9" i="7"/>
  <c r="K9" i="7"/>
  <c r="L9" i="7"/>
  <c r="N9" i="7"/>
  <c r="O9" i="7"/>
  <c r="P9" i="7"/>
  <c r="M9" i="7"/>
  <c r="I8" i="7"/>
  <c r="G8" i="7"/>
  <c r="K8" i="7"/>
  <c r="L8" i="7"/>
  <c r="N8" i="7"/>
  <c r="O8" i="7"/>
  <c r="P8" i="7"/>
  <c r="M8" i="7"/>
  <c r="I7" i="7"/>
  <c r="G7" i="7"/>
  <c r="K7" i="7"/>
  <c r="L7" i="7"/>
  <c r="N7" i="7"/>
  <c r="O7" i="7"/>
  <c r="P7" i="7"/>
  <c r="M7" i="7"/>
  <c r="I6" i="7"/>
  <c r="G6" i="7"/>
  <c r="K6" i="7"/>
  <c r="L6" i="7"/>
  <c r="N6" i="7"/>
  <c r="O6" i="7"/>
  <c r="P6" i="7"/>
  <c r="M6" i="7"/>
  <c r="I5" i="7"/>
  <c r="G5" i="7"/>
  <c r="K5" i="7"/>
  <c r="L5" i="7"/>
  <c r="N5" i="7"/>
  <c r="O5" i="7"/>
  <c r="P5" i="7"/>
  <c r="M5" i="7"/>
  <c r="I4" i="7"/>
  <c r="G4" i="7"/>
  <c r="K4" i="7"/>
  <c r="L4" i="7"/>
  <c r="N4" i="7"/>
  <c r="O4" i="7"/>
  <c r="P4" i="7"/>
  <c r="M4" i="7"/>
  <c r="I3" i="7"/>
  <c r="G3" i="7"/>
  <c r="K3" i="7"/>
  <c r="L3" i="7"/>
  <c r="N3" i="7"/>
  <c r="O3" i="7"/>
  <c r="P3" i="7"/>
  <c r="M3" i="7"/>
  <c r="I2" i="7"/>
  <c r="G2" i="7"/>
  <c r="K2" i="7"/>
  <c r="L2" i="7"/>
  <c r="N2" i="7"/>
  <c r="M2" i="7"/>
  <c r="I18" i="6"/>
  <c r="G18" i="6"/>
  <c r="K18" i="6"/>
  <c r="L18" i="6"/>
  <c r="N18" i="6"/>
  <c r="O18" i="6"/>
  <c r="M18" i="6"/>
  <c r="I17" i="6"/>
  <c r="G17" i="6"/>
  <c r="K17" i="6"/>
  <c r="L17" i="6"/>
  <c r="N17" i="6"/>
  <c r="O17" i="6"/>
  <c r="M17" i="6"/>
  <c r="I16" i="6"/>
  <c r="G16" i="6"/>
  <c r="K16" i="6"/>
  <c r="L16" i="6"/>
  <c r="N16" i="6"/>
  <c r="O16" i="6"/>
  <c r="M16" i="6"/>
  <c r="I15" i="6"/>
  <c r="G15" i="6"/>
  <c r="K15" i="6"/>
  <c r="L15" i="6"/>
  <c r="N15" i="6"/>
  <c r="O15" i="6"/>
  <c r="M15" i="6"/>
  <c r="I14" i="6"/>
  <c r="G14" i="6"/>
  <c r="K14" i="6"/>
  <c r="L14" i="6"/>
  <c r="N14" i="6"/>
  <c r="O14" i="6"/>
  <c r="M14" i="6"/>
  <c r="I13" i="6"/>
  <c r="G13" i="6"/>
  <c r="K13" i="6"/>
  <c r="L13" i="6"/>
  <c r="N13" i="6"/>
  <c r="O13" i="6"/>
  <c r="M13" i="6"/>
  <c r="I12" i="6"/>
  <c r="G12" i="6"/>
  <c r="K12" i="6"/>
  <c r="L12" i="6"/>
  <c r="N12" i="6"/>
  <c r="O12" i="6"/>
  <c r="M12" i="6"/>
  <c r="I11" i="6"/>
  <c r="G11" i="6"/>
  <c r="K11" i="6"/>
  <c r="L11" i="6"/>
  <c r="N11" i="6"/>
  <c r="O11" i="6"/>
  <c r="M11" i="6"/>
  <c r="I10" i="6"/>
  <c r="G10" i="6"/>
  <c r="K10" i="6"/>
  <c r="L10" i="6"/>
  <c r="N10" i="6"/>
  <c r="O10" i="6"/>
  <c r="M10" i="6"/>
  <c r="I9" i="6"/>
  <c r="G9" i="6"/>
  <c r="K9" i="6"/>
  <c r="L9" i="6"/>
  <c r="N9" i="6"/>
  <c r="O9" i="6"/>
  <c r="M9" i="6"/>
  <c r="I8" i="6"/>
  <c r="G8" i="6"/>
  <c r="K8" i="6"/>
  <c r="L8" i="6"/>
  <c r="N8" i="6"/>
  <c r="O8" i="6"/>
  <c r="M8" i="6"/>
  <c r="I7" i="6"/>
  <c r="G7" i="6"/>
  <c r="K7" i="6"/>
  <c r="L7" i="6"/>
  <c r="N7" i="6"/>
  <c r="O7" i="6"/>
  <c r="M7" i="6"/>
  <c r="I6" i="6"/>
  <c r="G6" i="6"/>
  <c r="K6" i="6"/>
  <c r="L6" i="6"/>
  <c r="N6" i="6"/>
  <c r="O6" i="6"/>
  <c r="M6" i="6"/>
  <c r="I5" i="6"/>
  <c r="G5" i="6"/>
  <c r="K5" i="6"/>
  <c r="L5" i="6"/>
  <c r="N5" i="6"/>
  <c r="O5" i="6"/>
  <c r="M5" i="6"/>
  <c r="I4" i="6"/>
  <c r="G4" i="6"/>
  <c r="K4" i="6"/>
  <c r="L4" i="6"/>
  <c r="N4" i="6"/>
  <c r="O4" i="6"/>
  <c r="M4" i="6"/>
  <c r="I3" i="6"/>
  <c r="G3" i="6"/>
  <c r="K3" i="6"/>
  <c r="L3" i="6"/>
  <c r="N3" i="6"/>
  <c r="O3" i="6"/>
  <c r="M3" i="6"/>
  <c r="I2" i="6"/>
  <c r="G2" i="6"/>
  <c r="K2" i="6"/>
  <c r="L2" i="6"/>
  <c r="N2" i="6"/>
  <c r="M2" i="6"/>
  <c r="I18" i="5"/>
  <c r="G18" i="5"/>
  <c r="K18" i="5"/>
  <c r="L18" i="5"/>
  <c r="N18" i="5"/>
  <c r="O18" i="5"/>
  <c r="M18" i="5"/>
  <c r="I17" i="5"/>
  <c r="G17" i="5"/>
  <c r="K17" i="5"/>
  <c r="L17" i="5"/>
  <c r="N17" i="5"/>
  <c r="O17" i="5"/>
  <c r="M17" i="5"/>
  <c r="I16" i="5"/>
  <c r="G16" i="5"/>
  <c r="K16" i="5"/>
  <c r="L16" i="5"/>
  <c r="N16" i="5"/>
  <c r="O16" i="5"/>
  <c r="M16" i="5"/>
  <c r="I15" i="5"/>
  <c r="G15" i="5"/>
  <c r="K15" i="5"/>
  <c r="L15" i="5"/>
  <c r="N15" i="5"/>
  <c r="O15" i="5"/>
  <c r="M15" i="5"/>
  <c r="I14" i="5"/>
  <c r="G14" i="5"/>
  <c r="K14" i="5"/>
  <c r="L14" i="5"/>
  <c r="N14" i="5"/>
  <c r="O14" i="5"/>
  <c r="M14" i="5"/>
  <c r="I13" i="5"/>
  <c r="G13" i="5"/>
  <c r="K13" i="5"/>
  <c r="L13" i="5"/>
  <c r="N13" i="5"/>
  <c r="O13" i="5"/>
  <c r="M13" i="5"/>
  <c r="I12" i="5"/>
  <c r="G12" i="5"/>
  <c r="K12" i="5"/>
  <c r="L12" i="5"/>
  <c r="N12" i="5"/>
  <c r="O12" i="5"/>
  <c r="M12" i="5"/>
  <c r="I11" i="5"/>
  <c r="G11" i="5"/>
  <c r="K11" i="5"/>
  <c r="L11" i="5"/>
  <c r="N11" i="5"/>
  <c r="O11" i="5"/>
  <c r="M11" i="5"/>
  <c r="I10" i="5"/>
  <c r="G10" i="5"/>
  <c r="K10" i="5"/>
  <c r="L10" i="5"/>
  <c r="N10" i="5"/>
  <c r="O10" i="5"/>
  <c r="M10" i="5"/>
  <c r="I9" i="5"/>
  <c r="G9" i="5"/>
  <c r="K9" i="5"/>
  <c r="L9" i="5"/>
  <c r="N9" i="5"/>
  <c r="O9" i="5"/>
  <c r="M9" i="5"/>
  <c r="I8" i="5"/>
  <c r="G8" i="5"/>
  <c r="K8" i="5"/>
  <c r="L8" i="5"/>
  <c r="N8" i="5"/>
  <c r="O8" i="5"/>
  <c r="M8" i="5"/>
  <c r="I7" i="5"/>
  <c r="G7" i="5"/>
  <c r="K7" i="5"/>
  <c r="L7" i="5"/>
  <c r="N7" i="5"/>
  <c r="O7" i="5"/>
  <c r="M7" i="5"/>
  <c r="I6" i="5"/>
  <c r="G6" i="5"/>
  <c r="K6" i="5"/>
  <c r="L6" i="5"/>
  <c r="N6" i="5"/>
  <c r="O6" i="5"/>
  <c r="M6" i="5"/>
  <c r="I5" i="5"/>
  <c r="G5" i="5"/>
  <c r="K5" i="5"/>
  <c r="L5" i="5"/>
  <c r="N5" i="5"/>
  <c r="O5" i="5"/>
  <c r="M5" i="5"/>
  <c r="I4" i="5"/>
  <c r="G4" i="5"/>
  <c r="K4" i="5"/>
  <c r="L4" i="5"/>
  <c r="N4" i="5"/>
  <c r="O4" i="5"/>
  <c r="M4" i="5"/>
  <c r="I3" i="5"/>
  <c r="G3" i="5"/>
  <c r="K3" i="5"/>
  <c r="L3" i="5"/>
  <c r="N3" i="5"/>
  <c r="O3" i="5"/>
  <c r="M3" i="5"/>
  <c r="I2" i="5"/>
  <c r="G2" i="5"/>
  <c r="K2" i="5"/>
  <c r="L2" i="5"/>
  <c r="N2" i="5"/>
  <c r="M2" i="5"/>
  <c r="I18" i="4"/>
  <c r="G18" i="4"/>
  <c r="K18" i="4"/>
  <c r="L18" i="4"/>
  <c r="N18" i="4"/>
  <c r="O18" i="4"/>
  <c r="M18" i="4"/>
  <c r="I17" i="4"/>
  <c r="G17" i="4"/>
  <c r="K17" i="4"/>
  <c r="L17" i="4"/>
  <c r="N17" i="4"/>
  <c r="O17" i="4"/>
  <c r="M17" i="4"/>
  <c r="I16" i="4"/>
  <c r="G16" i="4"/>
  <c r="K16" i="4"/>
  <c r="L16" i="4"/>
  <c r="N16" i="4"/>
  <c r="O16" i="4"/>
  <c r="M16" i="4"/>
  <c r="I15" i="4"/>
  <c r="G15" i="4"/>
  <c r="K15" i="4"/>
  <c r="L15" i="4"/>
  <c r="N15" i="4"/>
  <c r="O15" i="4"/>
  <c r="M15" i="4"/>
  <c r="I14" i="4"/>
  <c r="G14" i="4"/>
  <c r="K14" i="4"/>
  <c r="L14" i="4"/>
  <c r="N14" i="4"/>
  <c r="O14" i="4"/>
  <c r="M14" i="4"/>
  <c r="I13" i="4"/>
  <c r="G13" i="4"/>
  <c r="K13" i="4"/>
  <c r="L13" i="4"/>
  <c r="N13" i="4"/>
  <c r="O13" i="4"/>
  <c r="M13" i="4"/>
  <c r="I12" i="4"/>
  <c r="G12" i="4"/>
  <c r="K12" i="4"/>
  <c r="L12" i="4"/>
  <c r="N12" i="4"/>
  <c r="O12" i="4"/>
  <c r="M12" i="4"/>
  <c r="I11" i="4"/>
  <c r="G11" i="4"/>
  <c r="K11" i="4"/>
  <c r="L11" i="4"/>
  <c r="N11" i="4"/>
  <c r="O11" i="4"/>
  <c r="M11" i="4"/>
  <c r="I10" i="4"/>
  <c r="G10" i="4"/>
  <c r="K10" i="4"/>
  <c r="L10" i="4"/>
  <c r="N10" i="4"/>
  <c r="O10" i="4"/>
  <c r="M10" i="4"/>
  <c r="I9" i="4"/>
  <c r="G9" i="4"/>
  <c r="K9" i="4"/>
  <c r="L9" i="4"/>
  <c r="N9" i="4"/>
  <c r="O9" i="4"/>
  <c r="M9" i="4"/>
  <c r="I8" i="4"/>
  <c r="G8" i="4"/>
  <c r="K8" i="4"/>
  <c r="L8" i="4"/>
  <c r="N8" i="4"/>
  <c r="O8" i="4"/>
  <c r="M8" i="4"/>
  <c r="I7" i="4"/>
  <c r="G7" i="4"/>
  <c r="K7" i="4"/>
  <c r="L7" i="4"/>
  <c r="N7" i="4"/>
  <c r="O7" i="4"/>
  <c r="M7" i="4"/>
  <c r="I6" i="4"/>
  <c r="G6" i="4"/>
  <c r="K6" i="4"/>
  <c r="L6" i="4"/>
  <c r="N6" i="4"/>
  <c r="O6" i="4"/>
  <c r="M6" i="4"/>
  <c r="I5" i="4"/>
  <c r="G5" i="4"/>
  <c r="K5" i="4"/>
  <c r="L5" i="4"/>
  <c r="N5" i="4"/>
  <c r="O5" i="4"/>
  <c r="M5" i="4"/>
  <c r="I4" i="4"/>
  <c r="G4" i="4"/>
  <c r="K4" i="4"/>
  <c r="L4" i="4"/>
  <c r="N4" i="4"/>
  <c r="O4" i="4"/>
  <c r="M4" i="4"/>
  <c r="I3" i="4"/>
  <c r="G3" i="4"/>
  <c r="K3" i="4"/>
  <c r="L3" i="4"/>
  <c r="N3" i="4"/>
  <c r="O3" i="4"/>
  <c r="M3" i="4"/>
  <c r="I2" i="4"/>
  <c r="G2" i="4"/>
  <c r="K2" i="4"/>
  <c r="L2" i="4"/>
  <c r="N2" i="4"/>
  <c r="M2" i="4"/>
  <c r="I18" i="3"/>
  <c r="G18" i="3"/>
  <c r="K18" i="3"/>
  <c r="L18" i="3"/>
  <c r="N18" i="3"/>
  <c r="O18" i="3"/>
  <c r="P18" i="3"/>
  <c r="M18" i="3"/>
  <c r="I17" i="3"/>
  <c r="G17" i="3"/>
  <c r="K17" i="3"/>
  <c r="L17" i="3"/>
  <c r="N17" i="3"/>
  <c r="O17" i="3"/>
  <c r="P17" i="3"/>
  <c r="M17" i="3"/>
  <c r="I16" i="3"/>
  <c r="G16" i="3"/>
  <c r="K16" i="3"/>
  <c r="L16" i="3"/>
  <c r="N16" i="3"/>
  <c r="O16" i="3"/>
  <c r="P16" i="3"/>
  <c r="M16" i="3"/>
  <c r="I15" i="3"/>
  <c r="G15" i="3"/>
  <c r="K15" i="3"/>
  <c r="L15" i="3"/>
  <c r="N15" i="3"/>
  <c r="O15" i="3"/>
  <c r="P15" i="3"/>
  <c r="M15" i="3"/>
  <c r="I14" i="3"/>
  <c r="G14" i="3"/>
  <c r="K14" i="3"/>
  <c r="L14" i="3"/>
  <c r="N14" i="3"/>
  <c r="O14" i="3"/>
  <c r="P14" i="3"/>
  <c r="M14" i="3"/>
  <c r="I13" i="3"/>
  <c r="G13" i="3"/>
  <c r="K13" i="3"/>
  <c r="L13" i="3"/>
  <c r="N13" i="3"/>
  <c r="O13" i="3"/>
  <c r="P13" i="3"/>
  <c r="M13" i="3"/>
  <c r="I12" i="3"/>
  <c r="G12" i="3"/>
  <c r="K12" i="3"/>
  <c r="L12" i="3"/>
  <c r="N12" i="3"/>
  <c r="O12" i="3"/>
  <c r="P12" i="3"/>
  <c r="M12" i="3"/>
  <c r="I11" i="3"/>
  <c r="G11" i="3"/>
  <c r="K11" i="3"/>
  <c r="L11" i="3"/>
  <c r="N11" i="3"/>
  <c r="O11" i="3"/>
  <c r="P11" i="3"/>
  <c r="M11" i="3"/>
  <c r="I10" i="3"/>
  <c r="G10" i="3"/>
  <c r="K10" i="3"/>
  <c r="L10" i="3"/>
  <c r="N10" i="3"/>
  <c r="O10" i="3"/>
  <c r="P10" i="3"/>
  <c r="M10" i="3"/>
  <c r="I9" i="3"/>
  <c r="G9" i="3"/>
  <c r="K9" i="3"/>
  <c r="L9" i="3"/>
  <c r="N9" i="3"/>
  <c r="O9" i="3"/>
  <c r="P9" i="3"/>
  <c r="M9" i="3"/>
  <c r="I8" i="3"/>
  <c r="G8" i="3"/>
  <c r="K8" i="3"/>
  <c r="L8" i="3"/>
  <c r="N8" i="3"/>
  <c r="O8" i="3"/>
  <c r="P8" i="3"/>
  <c r="M8" i="3"/>
  <c r="I7" i="3"/>
  <c r="G7" i="3"/>
  <c r="K7" i="3"/>
  <c r="L7" i="3"/>
  <c r="N7" i="3"/>
  <c r="O7" i="3"/>
  <c r="P7" i="3"/>
  <c r="M7" i="3"/>
  <c r="I6" i="3"/>
  <c r="G6" i="3"/>
  <c r="K6" i="3"/>
  <c r="L6" i="3"/>
  <c r="N6" i="3"/>
  <c r="O6" i="3"/>
  <c r="P6" i="3"/>
  <c r="M6" i="3"/>
  <c r="I5" i="3"/>
  <c r="G5" i="3"/>
  <c r="K5" i="3"/>
  <c r="L5" i="3"/>
  <c r="N5" i="3"/>
  <c r="O5" i="3"/>
  <c r="P5" i="3"/>
  <c r="M5" i="3"/>
  <c r="I4" i="3"/>
  <c r="G4" i="3"/>
  <c r="K4" i="3"/>
  <c r="L4" i="3"/>
  <c r="N4" i="3"/>
  <c r="O4" i="3"/>
  <c r="P4" i="3"/>
  <c r="M4" i="3"/>
  <c r="I3" i="3"/>
  <c r="G3" i="3"/>
  <c r="K3" i="3"/>
  <c r="L3" i="3"/>
  <c r="N3" i="3"/>
  <c r="O3" i="3"/>
  <c r="P3" i="3"/>
  <c r="M3" i="3"/>
  <c r="I2" i="3"/>
  <c r="G2" i="3"/>
  <c r="K2" i="3"/>
  <c r="L2" i="3"/>
  <c r="N2" i="3"/>
  <c r="M2" i="3"/>
  <c r="B26" i="2"/>
  <c r="B25" i="2"/>
  <c r="I18" i="2"/>
  <c r="G18" i="2"/>
  <c r="K18" i="2"/>
  <c r="L18" i="2"/>
  <c r="N18" i="2"/>
  <c r="O18" i="2"/>
  <c r="P18" i="2"/>
  <c r="M18" i="2"/>
  <c r="I17" i="2"/>
  <c r="G17" i="2"/>
  <c r="K17" i="2"/>
  <c r="L17" i="2"/>
  <c r="N17" i="2"/>
  <c r="O17" i="2"/>
  <c r="P17" i="2"/>
  <c r="M17" i="2"/>
  <c r="I16" i="2"/>
  <c r="G16" i="2"/>
  <c r="K16" i="2"/>
  <c r="L16" i="2"/>
  <c r="N16" i="2"/>
  <c r="O16" i="2"/>
  <c r="P16" i="2"/>
  <c r="M16" i="2"/>
  <c r="I15" i="2"/>
  <c r="G15" i="2"/>
  <c r="K15" i="2"/>
  <c r="L15" i="2"/>
  <c r="N15" i="2"/>
  <c r="O15" i="2"/>
  <c r="P15" i="2"/>
  <c r="M15" i="2"/>
  <c r="I14" i="2"/>
  <c r="G14" i="2"/>
  <c r="K14" i="2"/>
  <c r="L14" i="2"/>
  <c r="N14" i="2"/>
  <c r="O14" i="2"/>
  <c r="P14" i="2"/>
  <c r="M14" i="2"/>
  <c r="I13" i="2"/>
  <c r="G13" i="2"/>
  <c r="K13" i="2"/>
  <c r="L13" i="2"/>
  <c r="N13" i="2"/>
  <c r="O13" i="2"/>
  <c r="P13" i="2"/>
  <c r="M13" i="2"/>
  <c r="I12" i="2"/>
  <c r="G12" i="2"/>
  <c r="K12" i="2"/>
  <c r="L12" i="2"/>
  <c r="N12" i="2"/>
  <c r="O12" i="2"/>
  <c r="P12" i="2"/>
  <c r="M12" i="2"/>
  <c r="I11" i="2"/>
  <c r="G11" i="2"/>
  <c r="K11" i="2"/>
  <c r="L11" i="2"/>
  <c r="N11" i="2"/>
  <c r="O11" i="2"/>
  <c r="P11" i="2"/>
  <c r="M11" i="2"/>
  <c r="I10" i="2"/>
  <c r="G10" i="2"/>
  <c r="K10" i="2"/>
  <c r="L10" i="2"/>
  <c r="N10" i="2"/>
  <c r="O10" i="2"/>
  <c r="P10" i="2"/>
  <c r="M10" i="2"/>
  <c r="I9" i="2"/>
  <c r="G9" i="2"/>
  <c r="K9" i="2"/>
  <c r="L9" i="2"/>
  <c r="N9" i="2"/>
  <c r="O9" i="2"/>
  <c r="P9" i="2"/>
  <c r="M9" i="2"/>
  <c r="I8" i="2"/>
  <c r="G8" i="2"/>
  <c r="K8" i="2"/>
  <c r="L8" i="2"/>
  <c r="N8" i="2"/>
  <c r="O8" i="2"/>
  <c r="P8" i="2"/>
  <c r="M8" i="2"/>
  <c r="I7" i="2"/>
  <c r="G7" i="2"/>
  <c r="K7" i="2"/>
  <c r="L7" i="2"/>
  <c r="N7" i="2"/>
  <c r="O7" i="2"/>
  <c r="P7" i="2"/>
  <c r="M7" i="2"/>
  <c r="I6" i="2"/>
  <c r="G6" i="2"/>
  <c r="K6" i="2"/>
  <c r="L6" i="2"/>
  <c r="N6" i="2"/>
  <c r="O6" i="2"/>
  <c r="P6" i="2"/>
  <c r="M6" i="2"/>
  <c r="I5" i="2"/>
  <c r="G5" i="2"/>
  <c r="K5" i="2"/>
  <c r="L5" i="2"/>
  <c r="N5" i="2"/>
  <c r="O5" i="2"/>
  <c r="P5" i="2"/>
  <c r="M5" i="2"/>
  <c r="I4" i="2"/>
  <c r="G4" i="2"/>
  <c r="K4" i="2"/>
  <c r="L4" i="2"/>
  <c r="N4" i="2"/>
  <c r="O4" i="2"/>
  <c r="P4" i="2"/>
  <c r="M4" i="2"/>
  <c r="I3" i="2"/>
  <c r="G3" i="2"/>
  <c r="K3" i="2"/>
  <c r="L3" i="2"/>
  <c r="N3" i="2"/>
  <c r="O3" i="2"/>
  <c r="P3" i="2"/>
  <c r="M3" i="2"/>
  <c r="I2" i="2"/>
  <c r="G2" i="2"/>
  <c r="K2" i="2"/>
  <c r="L2" i="2"/>
  <c r="N2" i="2"/>
  <c r="M2" i="2"/>
  <c r="B28" i="1"/>
  <c r="B26" i="1"/>
  <c r="B25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" i="1"/>
  <c r="B27" i="1"/>
  <c r="L3" i="1"/>
  <c r="N3" i="1"/>
  <c r="O3" i="1"/>
  <c r="P3" i="1"/>
  <c r="L18" i="1"/>
  <c r="N18" i="1"/>
  <c r="O18" i="1"/>
  <c r="P18" i="1"/>
  <c r="L17" i="1"/>
  <c r="N17" i="1"/>
  <c r="O17" i="1"/>
  <c r="P17" i="1"/>
  <c r="L16" i="1"/>
  <c r="N16" i="1"/>
  <c r="O16" i="1"/>
  <c r="P16" i="1"/>
  <c r="L15" i="1"/>
  <c r="N15" i="1"/>
  <c r="O15" i="1"/>
  <c r="P15" i="1"/>
  <c r="L14" i="1"/>
  <c r="N14" i="1"/>
  <c r="O14" i="1"/>
  <c r="P14" i="1"/>
  <c r="L13" i="1"/>
  <c r="N13" i="1"/>
  <c r="O13" i="1"/>
  <c r="P13" i="1"/>
  <c r="L12" i="1"/>
  <c r="N12" i="1"/>
  <c r="O12" i="1"/>
  <c r="P12" i="1"/>
  <c r="L11" i="1"/>
  <c r="N11" i="1"/>
  <c r="O11" i="1"/>
  <c r="P11" i="1"/>
  <c r="L10" i="1"/>
  <c r="N10" i="1"/>
  <c r="O10" i="1"/>
  <c r="P10" i="1"/>
  <c r="L9" i="1"/>
  <c r="N9" i="1"/>
  <c r="O9" i="1"/>
  <c r="P9" i="1"/>
  <c r="L8" i="1"/>
  <c r="N8" i="1"/>
  <c r="O8" i="1"/>
  <c r="P8" i="1"/>
  <c r="L7" i="1"/>
  <c r="N7" i="1"/>
  <c r="O7" i="1"/>
  <c r="P7" i="1"/>
  <c r="L6" i="1"/>
  <c r="N6" i="1"/>
  <c r="O6" i="1"/>
  <c r="P6" i="1"/>
  <c r="L5" i="1"/>
  <c r="N5" i="1"/>
  <c r="O5" i="1"/>
  <c r="P5" i="1"/>
  <c r="L4" i="1"/>
  <c r="N4" i="1"/>
  <c r="O4" i="1"/>
  <c r="P4" i="1"/>
  <c r="L2" i="1"/>
  <c r="N2" i="1"/>
  <c r="B27" i="2"/>
  <c r="B28" i="2"/>
  <c r="B27" i="3"/>
  <c r="B28" i="3"/>
  <c r="B27" i="4"/>
  <c r="B28" i="4"/>
  <c r="B27" i="5"/>
  <c r="B28" i="5"/>
  <c r="B27" i="6"/>
  <c r="B28" i="6"/>
  <c r="B25" i="7"/>
  <c r="B26" i="7"/>
  <c r="B27" i="7"/>
  <c r="B28" i="7"/>
  <c r="B25" i="8"/>
  <c r="B26" i="8"/>
  <c r="B27" i="8"/>
  <c r="B28" i="8"/>
  <c r="B27" i="9"/>
  <c r="B28" i="9"/>
</calcChain>
</file>

<file path=xl/sharedStrings.xml><?xml version="1.0" encoding="utf-8"?>
<sst xmlns="http://schemas.openxmlformats.org/spreadsheetml/2006/main" count="339" uniqueCount="39">
  <si>
    <t>mo</t>
  </si>
  <si>
    <t>C</t>
  </si>
  <si>
    <t>R</t>
  </si>
  <si>
    <t>F</t>
  </si>
  <si>
    <t>J/K/mol</t>
  </si>
  <si>
    <t>C/mol</t>
  </si>
  <si>
    <t>N</t>
  </si>
  <si>
    <t>Titration point</t>
  </si>
  <si>
    <t>pH</t>
  </si>
  <si>
    <t>E (mV)</t>
  </si>
  <si>
    <t>Acid mass</t>
  </si>
  <si>
    <t>F1</t>
  </si>
  <si>
    <t>e</t>
  </si>
  <si>
    <t>Adusted mass</t>
  </si>
  <si>
    <t>E(V)</t>
  </si>
  <si>
    <t>mass kg</t>
  </si>
  <si>
    <t>Eo</t>
  </si>
  <si>
    <t>[H']</t>
  </si>
  <si>
    <t>1. Enter your pH values in the pH column</t>
  </si>
  <si>
    <t>2. Enter your temperature (degrees C) in the correct temperature column</t>
  </si>
  <si>
    <t>4. Enter your E (in mV) for each titration point</t>
  </si>
  <si>
    <t>6. Enter your acid mass in g</t>
  </si>
  <si>
    <t>8. Transform your mass to kg</t>
  </si>
  <si>
    <t>9. F1, Eo, and H' should be calculated for you</t>
  </si>
  <si>
    <t>log [H']</t>
  </si>
  <si>
    <t>10. calculate slope, intercept, and total alkalinity</t>
  </si>
  <si>
    <t>SLOPE of line F1 vs. acid mass (kg)</t>
  </si>
  <si>
    <t>**only use values corresponding to pH titration points between 3.5 and 3</t>
  </si>
  <si>
    <t>INTERCEPT of line F1 vs. acid mass (kg)</t>
  </si>
  <si>
    <t>Total Alkalinity</t>
  </si>
  <si>
    <t>kg</t>
  </si>
  <si>
    <t>Fill in information in upper lefthand corner: mo (initial mass of acid in kg), C (concentration of acid)</t>
  </si>
  <si>
    <r>
      <t>m</t>
    </r>
    <r>
      <rPr>
        <b/>
        <vertAlign val="subscript"/>
        <sz val="11"/>
        <color theme="1"/>
        <rFont val="Calibri"/>
        <scheme val="minor"/>
      </rPr>
      <t>e</t>
    </r>
  </si>
  <si>
    <t>Temp (°C)</t>
  </si>
  <si>
    <t>Temp (K)</t>
  </si>
  <si>
    <t>7. Adjust the mass by subtracting the initial mass from each entry to give you total acid added - this will be done automatically</t>
  </si>
  <si>
    <t>3. Calculate your temperature in Kelvin in the adjacted temperature column (this will be done automatically)</t>
  </si>
  <si>
    <t>5. Transform to V (this will be done automatically)</t>
  </si>
  <si>
    <t>COVER WAS ON PH PROBE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</si>
</sst>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scheme val="minor"/>
    </font>
    <font>
      <sz val="12"/>
      <color rgb="FFFF6600"/>
      <name val="Calibri"/>
      <scheme val="minor"/>
    </font>
    <font>
      <i/>
      <sz val="12"/>
      <color rgb="FFFF6600"/>
      <name val="Calibri"/>
      <scheme val="minor"/>
    </font>
    <font>
      <sz val="12"/>
      <color rgb="FF008000"/>
      <name val="Calibri"/>
      <scheme val="minor"/>
    </font>
    <font>
      <sz val="12"/>
      <color rgb="FF3366FF"/>
      <name val="Calibri"/>
      <scheme val="minor"/>
    </font>
    <font>
      <i/>
      <sz val="12"/>
      <color rgb="FF3366FF"/>
      <name val="Calibri"/>
      <scheme val="minor"/>
    </font>
    <font>
      <sz val="12"/>
      <color rgb="FF0000FF"/>
      <name val="Calibri"/>
      <scheme val="minor"/>
    </font>
    <font>
      <sz val="12"/>
      <color rgb="FF660066"/>
      <name val="Calibri"/>
      <scheme val="minor"/>
    </font>
    <font>
      <i/>
      <sz val="12"/>
      <color rgb="FF660066"/>
      <name val="Calibri"/>
      <scheme val="minor"/>
    </font>
    <font>
      <sz val="12"/>
      <color theme="5" tint="-0.249977111117893"/>
      <name val="Calibri"/>
      <scheme val="minor"/>
    </font>
    <font>
      <sz val="12"/>
      <color theme="1" tint="0.249977111117893"/>
      <name val="Calibri"/>
      <scheme val="minor"/>
    </font>
    <font>
      <b/>
      <vertAlign val="subscript"/>
      <sz val="11"/>
      <color theme="1"/>
      <name val="Calibri"/>
      <scheme val="minor"/>
    </font>
    <font>
      <b/>
      <sz val="12"/>
      <color rgb="FFFF0000"/>
      <name val="Calibri"/>
      <scheme val="minor"/>
    </font>
    <font>
      <b/>
      <sz val="12"/>
      <color rgb="FFFF6600"/>
      <name val="Calibri"/>
      <scheme val="minor"/>
    </font>
    <font>
      <b/>
      <sz val="12"/>
      <color rgb="FF008000"/>
      <name val="Calibri"/>
      <scheme val="minor"/>
    </font>
    <font>
      <b/>
      <sz val="12"/>
      <color rgb="FF3366FF"/>
      <name val="Calibri"/>
      <scheme val="minor"/>
    </font>
    <font>
      <b/>
      <sz val="12"/>
      <color rgb="FF0000FF"/>
      <name val="Calibri"/>
      <scheme val="minor"/>
    </font>
    <font>
      <b/>
      <sz val="12"/>
      <color rgb="FF660066"/>
      <name val="Calibri"/>
      <scheme val="minor"/>
    </font>
    <font>
      <b/>
      <sz val="12"/>
      <color theme="5" tint="-0.249977111117893"/>
      <name val="Calibri"/>
      <scheme val="minor"/>
    </font>
    <font>
      <b/>
      <sz val="12"/>
      <color theme="1" tint="0.249977111117893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0" fillId="0" borderId="0" xfId="0" applyFont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B2" sqref="B2"/>
    </sheetView>
  </sheetViews>
  <sheetFormatPr baseColWidth="10" defaultRowHeight="15" x14ac:dyDescent="0"/>
  <cols>
    <col min="1" max="1" width="32.5" customWidth="1"/>
    <col min="16" max="16" width="12.83203125" bestFit="1" customWidth="1"/>
  </cols>
  <sheetData>
    <row r="1" spans="1:16" ht="30">
      <c r="A1" s="1" t="s">
        <v>0</v>
      </c>
      <c r="B1">
        <v>0.1212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  <c r="P1" s="25" t="s">
        <v>24</v>
      </c>
    </row>
    <row r="2" spans="1:16">
      <c r="A2" s="1" t="s">
        <v>1</v>
      </c>
      <c r="B2">
        <v>0.1</v>
      </c>
      <c r="C2" t="s">
        <v>6</v>
      </c>
      <c r="D2">
        <v>0</v>
      </c>
      <c r="E2" s="4">
        <v>8.1300000000000008</v>
      </c>
      <c r="F2" s="6">
        <v>20</v>
      </c>
      <c r="G2" s="8">
        <f>F2+273.15</f>
        <v>293.14999999999998</v>
      </c>
      <c r="H2" s="9">
        <v>-66.8</v>
      </c>
      <c r="I2" s="11">
        <f>H2/1000</f>
        <v>-6.6799999999999998E-2</v>
      </c>
      <c r="J2" s="12">
        <v>279.7</v>
      </c>
      <c r="K2" s="14">
        <f>$J$2-J2</f>
        <v>0</v>
      </c>
      <c r="L2" s="15">
        <f>K2/1000</f>
        <v>0</v>
      </c>
      <c r="M2">
        <f>(0.12677+(L2/1000))*(2.7183^(I2/((8.314472*G2)/96485.3399)))</f>
        <v>9.0073557828160133E-3</v>
      </c>
      <c r="N2" t="e">
        <f>I2-((8.314472*G2)/96485.3399)*LN(((-0.12677*0.002)+(L2*0.1))/(0.12677+L2))</f>
        <v>#NUM!</v>
      </c>
    </row>
    <row r="3" spans="1:16">
      <c r="A3" s="1" t="s">
        <v>2</v>
      </c>
      <c r="B3">
        <v>8.3144720000000003</v>
      </c>
      <c r="C3" t="s">
        <v>4</v>
      </c>
      <c r="D3">
        <v>1</v>
      </c>
      <c r="E3" s="27">
        <v>3.51</v>
      </c>
      <c r="F3" s="28">
        <v>20.100000000000001</v>
      </c>
      <c r="G3" s="29">
        <f t="shared" ref="G3:G18" si="0">F3+273.15</f>
        <v>293.25</v>
      </c>
      <c r="H3" s="30">
        <v>190.9</v>
      </c>
      <c r="I3" s="31">
        <f t="shared" ref="I3:I18" si="1">H3/1000</f>
        <v>0.19090000000000001</v>
      </c>
      <c r="J3" s="32">
        <v>276.60000000000002</v>
      </c>
      <c r="K3" s="33">
        <f t="shared" ref="K3:K18" si="2">$J$2-J3</f>
        <v>3.0999999999999659</v>
      </c>
      <c r="L3" s="34">
        <f t="shared" ref="L3:L18" si="3">K3/1000</f>
        <v>3.0999999999999661E-3</v>
      </c>
      <c r="M3" s="16">
        <f t="shared" ref="M3:M18" si="4">(0.12677+(L3/1000))*(2.7183^(I3/((8.314472*G3)/96485.3399)))</f>
        <v>242.01505564232127</v>
      </c>
      <c r="N3" s="16">
        <f>I3-((8.314472*G3)/96485.3399)*LN(((-0.12677*0.002)+(L3*0.1))/(0.12677+L3))</f>
        <v>0.3865116822856664</v>
      </c>
      <c r="O3" s="16">
        <f>2.7183^((I3-N3)/((8.314472*G3)/96485.3399))</f>
        <v>4.3471993901484621E-4</v>
      </c>
      <c r="P3" s="16">
        <f>-LOG10(O3)</f>
        <v>3.361790439851648</v>
      </c>
    </row>
    <row r="4" spans="1:16">
      <c r="A4" s="1" t="s">
        <v>3</v>
      </c>
      <c r="B4">
        <v>96485.339900000006</v>
      </c>
      <c r="C4" t="s">
        <v>5</v>
      </c>
      <c r="D4">
        <v>2</v>
      </c>
      <c r="E4" s="27">
        <v>3.44</v>
      </c>
      <c r="F4" s="28">
        <v>20.2</v>
      </c>
      <c r="G4" s="29">
        <f t="shared" si="0"/>
        <v>293.34999999999997</v>
      </c>
      <c r="H4" s="30">
        <v>194.8</v>
      </c>
      <c r="I4" s="31">
        <f t="shared" si="1"/>
        <v>0.1948</v>
      </c>
      <c r="J4" s="32">
        <v>276.5</v>
      </c>
      <c r="K4" s="33">
        <f t="shared" si="2"/>
        <v>3.1999999999999886</v>
      </c>
      <c r="L4" s="34">
        <f t="shared" si="3"/>
        <v>3.1999999999999884E-3</v>
      </c>
      <c r="M4" s="16">
        <f t="shared" si="4"/>
        <v>281.66121150472543</v>
      </c>
      <c r="N4" s="16">
        <f t="shared" ref="N4:N18" si="5">I4-((8.314472*G4)/96485.3399)*LN(((-0.12677*0.002)+(L4*0.1))/(0.12677+L4))</f>
        <v>0.3863756567489296</v>
      </c>
      <c r="O4" s="16">
        <f t="shared" ref="O4:O18" si="6">2.7183^((I4-N4)/((8.314472*G4)/96485.3399))</f>
        <v>5.1132286783363659E-4</v>
      </c>
      <c r="P4" s="16">
        <f t="shared" ref="P4:P18" si="7">-LOG10(O4)</f>
        <v>3.2913047839371079</v>
      </c>
    </row>
    <row r="5" spans="1:16">
      <c r="A5" s="1" t="s">
        <v>12</v>
      </c>
      <c r="B5">
        <v>2.7183000000000002</v>
      </c>
      <c r="D5">
        <v>3</v>
      </c>
      <c r="E5" s="27">
        <v>3.38</v>
      </c>
      <c r="F5" s="28">
        <v>20.2</v>
      </c>
      <c r="G5" s="29">
        <f t="shared" si="0"/>
        <v>293.34999999999997</v>
      </c>
      <c r="H5" s="30">
        <v>198.2</v>
      </c>
      <c r="I5" s="31">
        <f t="shared" si="1"/>
        <v>0.19819999999999999</v>
      </c>
      <c r="J5" s="32">
        <v>276.39999999999998</v>
      </c>
      <c r="K5" s="33">
        <f t="shared" si="2"/>
        <v>3.3000000000000114</v>
      </c>
      <c r="L5" s="34">
        <f t="shared" si="3"/>
        <v>3.3000000000000113E-3</v>
      </c>
      <c r="M5" s="16">
        <f t="shared" si="4"/>
        <v>322.21073585267857</v>
      </c>
      <c r="N5" s="16">
        <f t="shared" si="5"/>
        <v>0.38625180946554427</v>
      </c>
      <c r="O5" s="16">
        <f t="shared" si="6"/>
        <v>5.8780808625068519E-4</v>
      </c>
      <c r="P5" s="16">
        <f t="shared" si="7"/>
        <v>3.2307644437994791</v>
      </c>
    </row>
    <row r="6" spans="1:16">
      <c r="D6">
        <v>4</v>
      </c>
      <c r="E6" s="27">
        <v>3.34</v>
      </c>
      <c r="F6" s="28">
        <v>20.2</v>
      </c>
      <c r="G6" s="29">
        <f t="shared" si="0"/>
        <v>293.34999999999997</v>
      </c>
      <c r="H6" s="30">
        <v>200.9</v>
      </c>
      <c r="I6" s="31">
        <f t="shared" si="1"/>
        <v>0.2009</v>
      </c>
      <c r="J6" s="32">
        <v>276.39999999999998</v>
      </c>
      <c r="K6" s="33">
        <f t="shared" si="2"/>
        <v>3.3000000000000114</v>
      </c>
      <c r="L6" s="34">
        <f t="shared" si="3"/>
        <v>3.3000000000000113E-3</v>
      </c>
      <c r="M6" s="16">
        <f t="shared" si="4"/>
        <v>358.53082464574834</v>
      </c>
      <c r="N6" s="16">
        <f t="shared" si="5"/>
        <v>0.38895180946554425</v>
      </c>
      <c r="O6" s="16">
        <f t="shared" si="6"/>
        <v>5.8780808625068573E-4</v>
      </c>
      <c r="P6" s="16">
        <f t="shared" si="7"/>
        <v>3.2307644437994787</v>
      </c>
    </row>
    <row r="7" spans="1:16">
      <c r="D7">
        <v>5</v>
      </c>
      <c r="E7" s="27">
        <v>3.29</v>
      </c>
      <c r="F7" s="28">
        <v>20.2</v>
      </c>
      <c r="G7" s="29">
        <f t="shared" si="0"/>
        <v>293.34999999999997</v>
      </c>
      <c r="H7" s="30">
        <v>203.6</v>
      </c>
      <c r="I7" s="31">
        <f t="shared" si="1"/>
        <v>0.2036</v>
      </c>
      <c r="J7" s="32">
        <v>276.39999999999998</v>
      </c>
      <c r="K7" s="33">
        <f t="shared" si="2"/>
        <v>3.3000000000000114</v>
      </c>
      <c r="L7" s="34">
        <f t="shared" si="3"/>
        <v>3.3000000000000113E-3</v>
      </c>
      <c r="M7" s="16">
        <f t="shared" si="4"/>
        <v>398.94496960502801</v>
      </c>
      <c r="N7" s="16">
        <f t="shared" si="5"/>
        <v>0.39165180946554423</v>
      </c>
      <c r="O7" s="16">
        <f t="shared" si="6"/>
        <v>5.8780808625068671E-4</v>
      </c>
      <c r="P7" s="16">
        <f t="shared" si="7"/>
        <v>3.2307644437994778</v>
      </c>
    </row>
    <row r="8" spans="1:16">
      <c r="D8">
        <v>6</v>
      </c>
      <c r="E8" s="27">
        <v>3.24</v>
      </c>
      <c r="F8" s="28">
        <v>20.2</v>
      </c>
      <c r="G8" s="29">
        <f t="shared" si="0"/>
        <v>293.34999999999997</v>
      </c>
      <c r="H8" s="30">
        <v>205.9</v>
      </c>
      <c r="I8" s="31">
        <f t="shared" si="1"/>
        <v>0.2059</v>
      </c>
      <c r="J8" s="32">
        <v>276.3</v>
      </c>
      <c r="K8" s="33">
        <f t="shared" si="2"/>
        <v>3.3999999999999773</v>
      </c>
      <c r="L8" s="34">
        <f t="shared" si="3"/>
        <v>3.3999999999999773E-3</v>
      </c>
      <c r="M8" s="16">
        <f t="shared" si="4"/>
        <v>436.94598805773217</v>
      </c>
      <c r="N8" s="16">
        <f t="shared" si="5"/>
        <v>0.39086409331895944</v>
      </c>
      <c r="O8" s="16">
        <f t="shared" si="6"/>
        <v>6.6417585534430626E-4</v>
      </c>
      <c r="P8" s="16">
        <f t="shared" si="7"/>
        <v>3.1777169162735093</v>
      </c>
    </row>
    <row r="9" spans="1:16">
      <c r="D9">
        <v>7</v>
      </c>
      <c r="E9" s="27">
        <v>3.21</v>
      </c>
      <c r="F9" s="28">
        <v>20.2</v>
      </c>
      <c r="G9" s="29">
        <f t="shared" si="0"/>
        <v>293.34999999999997</v>
      </c>
      <c r="H9" s="30">
        <v>208</v>
      </c>
      <c r="I9" s="31">
        <f t="shared" si="1"/>
        <v>0.20799999999999999</v>
      </c>
      <c r="J9" s="32">
        <v>276.2</v>
      </c>
      <c r="K9" s="33">
        <f t="shared" si="2"/>
        <v>3.5</v>
      </c>
      <c r="L9" s="34">
        <f t="shared" si="3"/>
        <v>3.5000000000000001E-3</v>
      </c>
      <c r="M9" s="16">
        <f t="shared" si="4"/>
        <v>474.79537776329352</v>
      </c>
      <c r="N9" s="16">
        <f t="shared" si="5"/>
        <v>0.3902168097520371</v>
      </c>
      <c r="O9" s="16">
        <f t="shared" si="6"/>
        <v>7.4042643776889413E-4</v>
      </c>
      <c r="P9" s="16">
        <f t="shared" si="7"/>
        <v>3.1305180826633836</v>
      </c>
    </row>
    <row r="10" spans="1:16">
      <c r="D10">
        <v>8</v>
      </c>
      <c r="E10" s="27">
        <v>3.15</v>
      </c>
      <c r="F10" s="28">
        <v>20.2</v>
      </c>
      <c r="G10" s="29">
        <f t="shared" si="0"/>
        <v>293.34999999999997</v>
      </c>
      <c r="H10" s="30">
        <v>210.9</v>
      </c>
      <c r="I10" s="31">
        <f t="shared" si="1"/>
        <v>0.2109</v>
      </c>
      <c r="J10" s="32">
        <v>276.10000000000002</v>
      </c>
      <c r="K10" s="33">
        <f t="shared" si="2"/>
        <v>3.5999999999999659</v>
      </c>
      <c r="L10" s="34">
        <f t="shared" si="3"/>
        <v>3.5999999999999661E-3</v>
      </c>
      <c r="M10" s="16">
        <f t="shared" si="4"/>
        <v>532.51194585287556</v>
      </c>
      <c r="N10" s="16">
        <f t="shared" si="5"/>
        <v>0.39064266632999178</v>
      </c>
      <c r="O10" s="16">
        <f t="shared" si="6"/>
        <v>8.1656009700322536E-4</v>
      </c>
      <c r="P10" s="16">
        <f t="shared" si="7"/>
        <v>3.0880118466451174</v>
      </c>
    </row>
    <row r="11" spans="1:16">
      <c r="D11">
        <v>9</v>
      </c>
      <c r="E11" s="27">
        <v>3.11</v>
      </c>
      <c r="F11" s="28">
        <v>20.2</v>
      </c>
      <c r="G11" s="29">
        <f t="shared" si="0"/>
        <v>293.34999999999997</v>
      </c>
      <c r="H11" s="30">
        <v>213.6</v>
      </c>
      <c r="I11" s="31">
        <f t="shared" si="1"/>
        <v>0.21359999999999998</v>
      </c>
      <c r="J11" s="32">
        <v>276</v>
      </c>
      <c r="K11" s="33">
        <f t="shared" si="2"/>
        <v>3.6999999999999886</v>
      </c>
      <c r="L11" s="34">
        <f t="shared" si="3"/>
        <v>3.6999999999999885E-3</v>
      </c>
      <c r="M11" s="16">
        <f t="shared" si="4"/>
        <v>592.53797728313793</v>
      </c>
      <c r="N11" s="16">
        <f t="shared" si="5"/>
        <v>0.39109253976433822</v>
      </c>
      <c r="O11" s="16">
        <f t="shared" si="6"/>
        <v>8.9257709688529967E-4</v>
      </c>
      <c r="P11" s="16">
        <f t="shared" si="7"/>
        <v>3.04935426114768</v>
      </c>
    </row>
    <row r="12" spans="1:16">
      <c r="D12">
        <v>10</v>
      </c>
      <c r="E12" s="27">
        <v>3.07</v>
      </c>
      <c r="F12" s="28">
        <v>20.2</v>
      </c>
      <c r="G12" s="29">
        <f t="shared" si="0"/>
        <v>293.34999999999997</v>
      </c>
      <c r="H12" s="30">
        <v>215.8</v>
      </c>
      <c r="I12" s="31">
        <f t="shared" si="1"/>
        <v>0.21580000000000002</v>
      </c>
      <c r="J12" s="32">
        <v>275.89999999999998</v>
      </c>
      <c r="K12" s="33">
        <f t="shared" si="2"/>
        <v>3.8000000000000114</v>
      </c>
      <c r="L12" s="34">
        <f t="shared" si="3"/>
        <v>3.8000000000000113E-3</v>
      </c>
      <c r="M12" s="16">
        <f t="shared" si="4"/>
        <v>646.41724677321611</v>
      </c>
      <c r="N12" s="16">
        <f t="shared" si="5"/>
        <v>0.39122947166239874</v>
      </c>
      <c r="O12" s="16">
        <f t="shared" si="6"/>
        <v>9.6847770130860096E-4</v>
      </c>
      <c r="P12" s="16">
        <f t="shared" si="7"/>
        <v>3.0139103742325464</v>
      </c>
    </row>
    <row r="13" spans="1:16">
      <c r="D13">
        <v>11</v>
      </c>
      <c r="E13" s="27">
        <v>3.03</v>
      </c>
      <c r="F13" s="28">
        <v>20.3</v>
      </c>
      <c r="G13" s="29">
        <f t="shared" si="0"/>
        <v>293.45</v>
      </c>
      <c r="H13" s="30">
        <v>218.2</v>
      </c>
      <c r="I13" s="31">
        <f t="shared" si="1"/>
        <v>0.21819999999999998</v>
      </c>
      <c r="J13" s="32">
        <v>275.7</v>
      </c>
      <c r="K13" s="33">
        <f t="shared" si="2"/>
        <v>4</v>
      </c>
      <c r="L13" s="34">
        <f t="shared" si="3"/>
        <v>4.0000000000000001E-3</v>
      </c>
      <c r="M13" s="16">
        <f t="shared" si="4"/>
        <v>708.71005674317348</v>
      </c>
      <c r="N13" s="16">
        <f t="shared" si="5"/>
        <v>0.39001509484184393</v>
      </c>
      <c r="O13" s="16">
        <f t="shared" si="6"/>
        <v>1.1199307784566703E-3</v>
      </c>
      <c r="P13" s="16">
        <f t="shared" si="7"/>
        <v>2.9508088197078024</v>
      </c>
    </row>
    <row r="14" spans="1:16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279.7</v>
      </c>
      <c r="L14" s="15">
        <f t="shared" si="3"/>
        <v>0.2797</v>
      </c>
      <c r="M14">
        <f t="shared" si="4"/>
        <v>0.12704969999999999</v>
      </c>
      <c r="N14">
        <f t="shared" si="5"/>
        <v>6.3211640844898623E-2</v>
      </c>
      <c r="O14">
        <f t="shared" si="6"/>
        <v>6.8186981652461232E-2</v>
      </c>
      <c r="P14">
        <f t="shared" si="7"/>
        <v>1.1662985334986582</v>
      </c>
    </row>
    <row r="15" spans="1:16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279.7</v>
      </c>
      <c r="L15" s="15">
        <f t="shared" si="3"/>
        <v>0.2797</v>
      </c>
      <c r="M15">
        <f t="shared" si="4"/>
        <v>0.12704969999999999</v>
      </c>
      <c r="N15">
        <f t="shared" si="5"/>
        <v>6.3211640844898623E-2</v>
      </c>
      <c r="O15">
        <f t="shared" si="6"/>
        <v>6.8186981652461232E-2</v>
      </c>
      <c r="P15">
        <f t="shared" si="7"/>
        <v>1.1662985334986582</v>
      </c>
    </row>
    <row r="16" spans="1:16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279.7</v>
      </c>
      <c r="L16" s="15">
        <f t="shared" si="3"/>
        <v>0.2797</v>
      </c>
      <c r="M16">
        <f t="shared" si="4"/>
        <v>0.12704969999999999</v>
      </c>
      <c r="N16">
        <f t="shared" si="5"/>
        <v>6.3211640844898623E-2</v>
      </c>
      <c r="O16">
        <f t="shared" si="6"/>
        <v>6.8186981652461232E-2</v>
      </c>
      <c r="P16">
        <f t="shared" si="7"/>
        <v>1.1662985334986582</v>
      </c>
    </row>
    <row r="17" spans="1:16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279.7</v>
      </c>
      <c r="L17" s="15">
        <f t="shared" si="3"/>
        <v>0.2797</v>
      </c>
      <c r="M17">
        <f t="shared" si="4"/>
        <v>0.12704969999999999</v>
      </c>
      <c r="N17">
        <f t="shared" si="5"/>
        <v>6.3211640844898623E-2</v>
      </c>
      <c r="O17">
        <f t="shared" si="6"/>
        <v>6.8186981652461232E-2</v>
      </c>
      <c r="P17">
        <f t="shared" si="7"/>
        <v>1.1662985334986582</v>
      </c>
    </row>
    <row r="18" spans="1:16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279.7</v>
      </c>
      <c r="L18" s="15">
        <f t="shared" si="3"/>
        <v>0.2797</v>
      </c>
      <c r="M18">
        <f t="shared" si="4"/>
        <v>0.12704969999999999</v>
      </c>
      <c r="N18">
        <f t="shared" si="5"/>
        <v>6.3211640844898623E-2</v>
      </c>
      <c r="O18">
        <f t="shared" si="6"/>
        <v>6.8186981652461232E-2</v>
      </c>
      <c r="P18">
        <f t="shared" si="7"/>
        <v>1.1662985334986582</v>
      </c>
    </row>
    <row r="22" spans="1:16">
      <c r="I22" s="3"/>
      <c r="M22" t="s">
        <v>31</v>
      </c>
    </row>
    <row r="23" spans="1:16">
      <c r="M23" s="4" t="s">
        <v>18</v>
      </c>
    </row>
    <row r="24" spans="1:16">
      <c r="A24" t="s">
        <v>27</v>
      </c>
      <c r="M24" s="6" t="s">
        <v>19</v>
      </c>
    </row>
    <row r="25" spans="1:16">
      <c r="A25" s="16" t="s">
        <v>26</v>
      </c>
      <c r="B25">
        <f>SLOPE(M3:M13,L3:L13)</f>
        <v>545192.61789192678</v>
      </c>
      <c r="M25" s="8" t="s">
        <v>36</v>
      </c>
    </row>
    <row r="26" spans="1:16">
      <c r="A26" s="16" t="s">
        <v>28</v>
      </c>
      <c r="B26">
        <f>INTERCEPT(M3:M13,L3:L13)</f>
        <v>-1439.1887830679666</v>
      </c>
      <c r="M26" s="9" t="s">
        <v>20</v>
      </c>
    </row>
    <row r="27" spans="1:16" ht="16">
      <c r="A27" s="16" t="s">
        <v>32</v>
      </c>
      <c r="B27">
        <f>-B26/B25</f>
        <v>2.6397803929055696E-3</v>
      </c>
      <c r="M27" s="11" t="s">
        <v>37</v>
      </c>
      <c r="N27" s="11"/>
    </row>
    <row r="28" spans="1:16">
      <c r="A28" s="16" t="s">
        <v>29</v>
      </c>
      <c r="B28">
        <f>((B27*B2)/B1)*1000000</f>
        <v>2178.0366278098759</v>
      </c>
      <c r="M28" s="12" t="s">
        <v>21</v>
      </c>
    </row>
    <row r="29" spans="1:16">
      <c r="M29" s="14" t="s">
        <v>35</v>
      </c>
    </row>
    <row r="30" spans="1:16">
      <c r="M30" s="15" t="s">
        <v>22</v>
      </c>
    </row>
    <row r="31" spans="1:16">
      <c r="M31" t="s">
        <v>23</v>
      </c>
    </row>
    <row r="32" spans="1:16">
      <c r="M32" s="16" t="s">
        <v>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B2" sqref="B2"/>
    </sheetView>
  </sheetViews>
  <sheetFormatPr baseColWidth="10" defaultRowHeight="15" x14ac:dyDescent="0"/>
  <sheetData>
    <row r="1" spans="1:16" ht="30">
      <c r="A1" s="1" t="s">
        <v>0</v>
      </c>
      <c r="B1">
        <v>0.1202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  <c r="P1" s="25" t="s">
        <v>24</v>
      </c>
    </row>
    <row r="2" spans="1:16">
      <c r="A2" s="1" t="s">
        <v>1</v>
      </c>
      <c r="B2">
        <v>0.1</v>
      </c>
      <c r="C2" t="s">
        <v>6</v>
      </c>
      <c r="D2">
        <v>0</v>
      </c>
      <c r="E2" s="4">
        <v>8.1199999999999992</v>
      </c>
      <c r="F2" s="6">
        <v>20.100000000000001</v>
      </c>
      <c r="G2" s="8">
        <f>F2+273.15</f>
        <v>293.25</v>
      </c>
      <c r="H2" s="9">
        <v>-65.400000000000006</v>
      </c>
      <c r="I2" s="11">
        <f>H2/1000</f>
        <v>-6.54E-2</v>
      </c>
      <c r="J2" s="12">
        <v>275.7</v>
      </c>
      <c r="K2" s="14">
        <f>$J$2-J2</f>
        <v>0</v>
      </c>
      <c r="L2" s="15">
        <f>K2/1000</f>
        <v>0</v>
      </c>
      <c r="M2">
        <f>(0.12677+(L2/1000))*(2.7183^(I2/((8.314472*G2)/96485.3399)))</f>
        <v>9.5290453293332862E-3</v>
      </c>
      <c r="N2" t="e">
        <f>I2-((8.314472*G2)/96485.3399)*LN(((-0.12677*0.002)+(L2*0.1))/(0.12677+L2))</f>
        <v>#NUM!</v>
      </c>
    </row>
    <row r="3" spans="1:16">
      <c r="A3" s="1" t="s">
        <v>2</v>
      </c>
      <c r="B3">
        <v>8.3144720000000003</v>
      </c>
      <c r="C3" t="s">
        <v>4</v>
      </c>
      <c r="D3">
        <v>1</v>
      </c>
      <c r="E3" s="27">
        <v>3.21</v>
      </c>
      <c r="F3" s="28">
        <v>20.3</v>
      </c>
      <c r="G3" s="29">
        <f t="shared" ref="G3:G18" si="0">F3+273.15</f>
        <v>293.45</v>
      </c>
      <c r="H3" s="30">
        <v>207.8</v>
      </c>
      <c r="I3" s="31">
        <f t="shared" ref="I3:I18" si="1">H3/1000</f>
        <v>0.20780000000000001</v>
      </c>
      <c r="J3" s="32">
        <v>272.2</v>
      </c>
      <c r="K3" s="33">
        <f t="shared" ref="K3:K18" si="2">$J$2-J3</f>
        <v>3.5</v>
      </c>
      <c r="L3" s="34">
        <f t="shared" ref="L3:L18" si="3">K3/1000</f>
        <v>3.5000000000000001E-3</v>
      </c>
      <c r="M3" s="16">
        <f t="shared" ref="M3:M18" si="4">(0.12677+(L3/1000))*(2.7183^(I3/((8.314472*G3)/96485.3399)))</f>
        <v>469.73602666416758</v>
      </c>
      <c r="N3" s="16">
        <f>I3-((8.314472*G3)/96485.3399)*LN(((-0.12677*0.002)+(L3*0.1))/(0.12677+L3))</f>
        <v>0.39007892558968904</v>
      </c>
      <c r="O3" s="16">
        <f>2.7183^((I3-N3)/((8.314472*G3)/96485.3399))</f>
        <v>7.4042643776889609E-4</v>
      </c>
      <c r="P3" s="16">
        <f>-LOG10(O3)</f>
        <v>3.1305180826633827</v>
      </c>
    </row>
    <row r="4" spans="1:16">
      <c r="A4" s="1" t="s">
        <v>3</v>
      </c>
      <c r="B4">
        <v>96485.339900000006</v>
      </c>
      <c r="C4" t="s">
        <v>5</v>
      </c>
      <c r="D4">
        <v>2</v>
      </c>
      <c r="E4" s="27">
        <v>3.2</v>
      </c>
      <c r="F4" s="28">
        <v>20.3</v>
      </c>
      <c r="G4" s="29">
        <f t="shared" si="0"/>
        <v>293.45</v>
      </c>
      <c r="H4" s="30">
        <v>208.8</v>
      </c>
      <c r="I4" s="31">
        <f t="shared" si="1"/>
        <v>0.20880000000000001</v>
      </c>
      <c r="J4" s="32">
        <v>272.2</v>
      </c>
      <c r="K4" s="33">
        <f t="shared" si="2"/>
        <v>3.5</v>
      </c>
      <c r="L4" s="34">
        <f t="shared" si="3"/>
        <v>3.5000000000000001E-3</v>
      </c>
      <c r="M4" s="16">
        <f t="shared" si="4"/>
        <v>488.68408780980781</v>
      </c>
      <c r="N4" s="16">
        <f t="shared" ref="N4:N18" si="5">I4-((8.314472*G4)/96485.3399)*LN(((-0.12677*0.002)+(L4*0.1))/(0.12677+L4))</f>
        <v>0.39107892558968904</v>
      </c>
      <c r="O4" s="16">
        <f t="shared" ref="O4:O18" si="6">2.7183^((I4-N4)/((8.314472*G4)/96485.3399))</f>
        <v>7.4042643776889609E-4</v>
      </c>
      <c r="P4" s="16">
        <f t="shared" ref="P4:P18" si="7">-LOG10(O4)</f>
        <v>3.1305180826633827</v>
      </c>
    </row>
    <row r="5" spans="1:16">
      <c r="A5" s="1" t="s">
        <v>12</v>
      </c>
      <c r="B5">
        <v>2.7183000000000002</v>
      </c>
      <c r="D5">
        <v>3</v>
      </c>
      <c r="E5" s="27">
        <v>3.18</v>
      </c>
      <c r="F5" s="28">
        <v>20.3</v>
      </c>
      <c r="G5" s="29">
        <f t="shared" si="0"/>
        <v>293.45</v>
      </c>
      <c r="H5" s="30">
        <v>209.8</v>
      </c>
      <c r="I5" s="31">
        <f t="shared" si="1"/>
        <v>0.20980000000000001</v>
      </c>
      <c r="J5" s="32">
        <v>272.2</v>
      </c>
      <c r="K5" s="33">
        <f t="shared" si="2"/>
        <v>3.5</v>
      </c>
      <c r="L5" s="34">
        <f t="shared" si="3"/>
        <v>3.5000000000000001E-3</v>
      </c>
      <c r="M5" s="16">
        <f t="shared" si="4"/>
        <v>508.39646976713669</v>
      </c>
      <c r="N5" s="16">
        <f t="shared" si="5"/>
        <v>0.39207892558968904</v>
      </c>
      <c r="O5" s="16">
        <f t="shared" si="6"/>
        <v>7.4042643776889609E-4</v>
      </c>
      <c r="P5" s="16">
        <f t="shared" si="7"/>
        <v>3.1305180826633827</v>
      </c>
    </row>
    <row r="6" spans="1:16">
      <c r="D6">
        <v>4</v>
      </c>
      <c r="E6" s="27">
        <v>3.16</v>
      </c>
      <c r="F6" s="28">
        <v>20.3</v>
      </c>
      <c r="G6" s="29">
        <f t="shared" si="0"/>
        <v>293.45</v>
      </c>
      <c r="H6" s="30">
        <v>210.5</v>
      </c>
      <c r="I6" s="31">
        <f t="shared" si="1"/>
        <v>0.21049999999999999</v>
      </c>
      <c r="J6" s="32">
        <v>272.10000000000002</v>
      </c>
      <c r="K6" s="33">
        <f t="shared" si="2"/>
        <v>3.5999999999999659</v>
      </c>
      <c r="L6" s="34">
        <f t="shared" si="3"/>
        <v>3.5999999999999661E-3</v>
      </c>
      <c r="M6" s="16">
        <f t="shared" si="4"/>
        <v>522.66678083349643</v>
      </c>
      <c r="N6" s="16">
        <f t="shared" si="5"/>
        <v>0.39030393875758002</v>
      </c>
      <c r="O6" s="16">
        <f t="shared" si="6"/>
        <v>8.1656009700322384E-4</v>
      </c>
      <c r="P6" s="16">
        <f t="shared" si="7"/>
        <v>3.0880118466451183</v>
      </c>
    </row>
    <row r="7" spans="1:16">
      <c r="D7">
        <v>5</v>
      </c>
      <c r="E7" s="27">
        <v>3.13</v>
      </c>
      <c r="F7" s="28">
        <v>20.3</v>
      </c>
      <c r="G7" s="29">
        <f t="shared" si="0"/>
        <v>293.45</v>
      </c>
      <c r="H7" s="30">
        <v>212.4</v>
      </c>
      <c r="I7" s="31">
        <f t="shared" si="1"/>
        <v>0.21240000000000001</v>
      </c>
      <c r="J7" s="32">
        <v>272</v>
      </c>
      <c r="K7" s="33">
        <f t="shared" si="2"/>
        <v>3.6999999999999886</v>
      </c>
      <c r="L7" s="34">
        <f t="shared" si="3"/>
        <v>3.6999999999999885E-3</v>
      </c>
      <c r="M7" s="16">
        <f t="shared" si="4"/>
        <v>563.45140290188408</v>
      </c>
      <c r="N7" s="16">
        <f t="shared" si="5"/>
        <v>0.38995304514690665</v>
      </c>
      <c r="O7" s="16">
        <f t="shared" si="6"/>
        <v>8.9257709688529902E-4</v>
      </c>
      <c r="P7" s="16">
        <f t="shared" si="7"/>
        <v>3.0493542611476805</v>
      </c>
    </row>
    <row r="8" spans="1:16">
      <c r="D8">
        <v>6</v>
      </c>
      <c r="E8" s="27">
        <v>3.1</v>
      </c>
      <c r="F8" s="28">
        <v>20.3</v>
      </c>
      <c r="G8" s="29">
        <f t="shared" si="0"/>
        <v>293.45</v>
      </c>
      <c r="H8" s="30">
        <v>214.2</v>
      </c>
      <c r="I8" s="31">
        <f t="shared" si="1"/>
        <v>0.2142</v>
      </c>
      <c r="J8" s="32">
        <v>271.89999999999998</v>
      </c>
      <c r="K8" s="33">
        <f t="shared" si="2"/>
        <v>3.8000000000000114</v>
      </c>
      <c r="L8" s="34">
        <f t="shared" si="3"/>
        <v>3.8000000000000113E-3</v>
      </c>
      <c r="M8" s="16">
        <f t="shared" si="4"/>
        <v>605.02120717841876</v>
      </c>
      <c r="N8" s="16">
        <f t="shared" si="5"/>
        <v>0.38968927376625501</v>
      </c>
      <c r="O8" s="16">
        <f t="shared" si="6"/>
        <v>9.6847770130860183E-4</v>
      </c>
      <c r="P8" s="16">
        <f t="shared" si="7"/>
        <v>3.0139103742325459</v>
      </c>
    </row>
    <row r="9" spans="1:16">
      <c r="D9">
        <v>7</v>
      </c>
      <c r="E9" s="27">
        <v>3.07</v>
      </c>
      <c r="F9" s="28">
        <v>20.3</v>
      </c>
      <c r="G9" s="29">
        <f t="shared" si="0"/>
        <v>293.45</v>
      </c>
      <c r="H9" s="30">
        <v>215.8</v>
      </c>
      <c r="I9" s="31">
        <f t="shared" si="1"/>
        <v>0.21580000000000002</v>
      </c>
      <c r="J9" s="32">
        <v>271.89999999999998</v>
      </c>
      <c r="K9" s="33">
        <f t="shared" si="2"/>
        <v>3.8000000000000114</v>
      </c>
      <c r="L9" s="34">
        <f t="shared" si="3"/>
        <v>3.8000000000000113E-3</v>
      </c>
      <c r="M9" s="16">
        <f t="shared" si="4"/>
        <v>644.53947772884908</v>
      </c>
      <c r="N9" s="16">
        <f t="shared" si="5"/>
        <v>0.391289273766255</v>
      </c>
      <c r="O9" s="16">
        <f t="shared" si="6"/>
        <v>9.6847770130860269E-4</v>
      </c>
      <c r="P9" s="16">
        <f t="shared" si="7"/>
        <v>3.0139103742325455</v>
      </c>
    </row>
    <row r="10" spans="1:16">
      <c r="D10">
        <v>8</v>
      </c>
      <c r="E10" s="27">
        <v>3.04</v>
      </c>
      <c r="F10" s="28">
        <v>20.3</v>
      </c>
      <c r="G10" s="29">
        <f t="shared" si="0"/>
        <v>293.45</v>
      </c>
      <c r="H10" s="30">
        <v>217.3</v>
      </c>
      <c r="I10" s="31">
        <f t="shared" si="1"/>
        <v>0.21730000000000002</v>
      </c>
      <c r="J10" s="32">
        <v>271.8</v>
      </c>
      <c r="K10" s="33">
        <f t="shared" si="2"/>
        <v>3.8999999999999773</v>
      </c>
      <c r="L10" s="34">
        <f t="shared" si="3"/>
        <v>3.8999999999999773E-3</v>
      </c>
      <c r="M10" s="16">
        <f t="shared" si="4"/>
        <v>683.92953310547011</v>
      </c>
      <c r="N10" s="16">
        <f t="shared" si="5"/>
        <v>0.39088410921342304</v>
      </c>
      <c r="O10" s="16">
        <f t="shared" si="6"/>
        <v>1.0442621740162472E-3</v>
      </c>
      <c r="P10" s="16">
        <f t="shared" si="7"/>
        <v>2.9811904530250053</v>
      </c>
    </row>
    <row r="11" spans="1:16">
      <c r="D11">
        <v>9</v>
      </c>
      <c r="E11" s="27">
        <v>3.02</v>
      </c>
      <c r="F11" s="28">
        <v>20.3</v>
      </c>
      <c r="G11" s="29">
        <f t="shared" si="0"/>
        <v>293.45</v>
      </c>
      <c r="H11" s="30">
        <v>218.8</v>
      </c>
      <c r="I11" s="31">
        <f t="shared" si="1"/>
        <v>0.21880000000000002</v>
      </c>
      <c r="J11" s="32">
        <v>271.7</v>
      </c>
      <c r="K11" s="33">
        <f t="shared" si="2"/>
        <v>4</v>
      </c>
      <c r="L11" s="34">
        <f t="shared" si="3"/>
        <v>4.0000000000000001E-3</v>
      </c>
      <c r="M11" s="16">
        <f t="shared" si="4"/>
        <v>725.72685214226078</v>
      </c>
      <c r="N11" s="16">
        <f t="shared" si="5"/>
        <v>0.39061509484184398</v>
      </c>
      <c r="O11" s="16">
        <f t="shared" si="6"/>
        <v>1.1199307784566703E-3</v>
      </c>
      <c r="P11" s="16">
        <f t="shared" si="7"/>
        <v>2.9508088197078024</v>
      </c>
    </row>
    <row r="12" spans="1:16">
      <c r="D12">
        <v>10</v>
      </c>
      <c r="E12" s="27"/>
      <c r="F12" s="28"/>
      <c r="G12" s="29">
        <f t="shared" si="0"/>
        <v>273.14999999999998</v>
      </c>
      <c r="H12" s="30"/>
      <c r="I12" s="31">
        <f t="shared" si="1"/>
        <v>0</v>
      </c>
      <c r="J12" s="32"/>
      <c r="K12" s="33">
        <f t="shared" si="2"/>
        <v>275.7</v>
      </c>
      <c r="L12" s="34">
        <f t="shared" si="3"/>
        <v>0.2757</v>
      </c>
      <c r="M12" s="16">
        <f t="shared" si="4"/>
        <v>0.12704569999999998</v>
      </c>
      <c r="N12" s="16">
        <f t="shared" si="5"/>
        <v>6.3321033639403917E-2</v>
      </c>
      <c r="O12" s="16">
        <f t="shared" si="6"/>
        <v>6.7870819600110155E-2</v>
      </c>
      <c r="P12" s="16">
        <f t="shared" si="7"/>
        <v>1.1683169062873013</v>
      </c>
    </row>
    <row r="13" spans="1:16">
      <c r="D13">
        <v>11</v>
      </c>
      <c r="E13" s="27"/>
      <c r="F13" s="28"/>
      <c r="G13" s="29">
        <f t="shared" si="0"/>
        <v>273.14999999999998</v>
      </c>
      <c r="H13" s="30"/>
      <c r="I13" s="31">
        <f t="shared" si="1"/>
        <v>0</v>
      </c>
      <c r="J13" s="32"/>
      <c r="K13" s="33">
        <f t="shared" si="2"/>
        <v>275.7</v>
      </c>
      <c r="L13" s="34">
        <f t="shared" si="3"/>
        <v>0.2757</v>
      </c>
      <c r="M13" s="16">
        <f t="shared" si="4"/>
        <v>0.12704569999999998</v>
      </c>
      <c r="N13" s="16">
        <f t="shared" si="5"/>
        <v>6.3321033639403917E-2</v>
      </c>
      <c r="O13" s="16">
        <f t="shared" si="6"/>
        <v>6.7870819600110155E-2</v>
      </c>
      <c r="P13" s="16">
        <f t="shared" si="7"/>
        <v>1.1683169062873013</v>
      </c>
    </row>
    <row r="14" spans="1:16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275.7</v>
      </c>
      <c r="L14" s="15">
        <f t="shared" si="3"/>
        <v>0.2757</v>
      </c>
      <c r="M14">
        <f t="shared" si="4"/>
        <v>0.12704569999999998</v>
      </c>
      <c r="N14">
        <f t="shared" si="5"/>
        <v>6.3321033639403917E-2</v>
      </c>
      <c r="O14">
        <f t="shared" si="6"/>
        <v>6.7870819600110155E-2</v>
      </c>
      <c r="P14">
        <f t="shared" si="7"/>
        <v>1.1683169062873013</v>
      </c>
    </row>
    <row r="15" spans="1:16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275.7</v>
      </c>
      <c r="L15" s="15">
        <f t="shared" si="3"/>
        <v>0.2757</v>
      </c>
      <c r="M15">
        <f t="shared" si="4"/>
        <v>0.12704569999999998</v>
      </c>
      <c r="N15">
        <f t="shared" si="5"/>
        <v>6.3321033639403917E-2</v>
      </c>
      <c r="O15">
        <f t="shared" si="6"/>
        <v>6.7870819600110155E-2</v>
      </c>
      <c r="P15">
        <f t="shared" si="7"/>
        <v>1.1683169062873013</v>
      </c>
    </row>
    <row r="16" spans="1:16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275.7</v>
      </c>
      <c r="L16" s="15">
        <f t="shared" si="3"/>
        <v>0.2757</v>
      </c>
      <c r="M16">
        <f t="shared" si="4"/>
        <v>0.12704569999999998</v>
      </c>
      <c r="N16">
        <f t="shared" si="5"/>
        <v>6.3321033639403917E-2</v>
      </c>
      <c r="O16">
        <f t="shared" si="6"/>
        <v>6.7870819600110155E-2</v>
      </c>
      <c r="P16">
        <f t="shared" si="7"/>
        <v>1.1683169062873013</v>
      </c>
    </row>
    <row r="17" spans="1:16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275.7</v>
      </c>
      <c r="L17" s="15">
        <f t="shared" si="3"/>
        <v>0.2757</v>
      </c>
      <c r="M17">
        <f t="shared" si="4"/>
        <v>0.12704569999999998</v>
      </c>
      <c r="N17">
        <f t="shared" si="5"/>
        <v>6.3321033639403917E-2</v>
      </c>
      <c r="O17">
        <f t="shared" si="6"/>
        <v>6.7870819600110155E-2</v>
      </c>
      <c r="P17">
        <f t="shared" si="7"/>
        <v>1.1683169062873013</v>
      </c>
    </row>
    <row r="18" spans="1:16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275.7</v>
      </c>
      <c r="L18" s="15">
        <f t="shared" si="3"/>
        <v>0.2757</v>
      </c>
      <c r="M18">
        <f t="shared" si="4"/>
        <v>0.12704569999999998</v>
      </c>
      <c r="N18">
        <f t="shared" si="5"/>
        <v>6.3321033639403917E-2</v>
      </c>
      <c r="O18">
        <f t="shared" si="6"/>
        <v>6.7870819600110155E-2</v>
      </c>
      <c r="P18">
        <f t="shared" si="7"/>
        <v>1.1683169062873013</v>
      </c>
    </row>
    <row r="22" spans="1:16">
      <c r="I22" s="3"/>
      <c r="M22" t="s">
        <v>31</v>
      </c>
    </row>
    <row r="23" spans="1:16">
      <c r="M23" s="4" t="s">
        <v>18</v>
      </c>
    </row>
    <row r="24" spans="1:16">
      <c r="A24" t="s">
        <v>27</v>
      </c>
      <c r="M24" s="6" t="s">
        <v>19</v>
      </c>
    </row>
    <row r="25" spans="1:16">
      <c r="A25" s="16" t="s">
        <v>26</v>
      </c>
      <c r="B25">
        <f>SLOPE(M3:M11,L3:L11)</f>
        <v>477964.41365330963</v>
      </c>
      <c r="M25" s="8" t="s">
        <v>36</v>
      </c>
    </row>
    <row r="26" spans="1:16">
      <c r="A26" s="16" t="s">
        <v>28</v>
      </c>
      <c r="B26">
        <f>INTERCEPT(M3:M11,L3:L11)</f>
        <v>-1189.3403485026329</v>
      </c>
      <c r="M26" s="9" t="s">
        <v>20</v>
      </c>
    </row>
    <row r="27" spans="1:16" ht="16">
      <c r="A27" s="16" t="s">
        <v>32</v>
      </c>
      <c r="B27">
        <f>-B26/B25</f>
        <v>2.4883449782630014E-3</v>
      </c>
      <c r="M27" s="11" t="s">
        <v>37</v>
      </c>
      <c r="N27" s="11"/>
    </row>
    <row r="28" spans="1:16">
      <c r="A28" s="16" t="s">
        <v>29</v>
      </c>
      <c r="B28">
        <f>((B27*B2)/B1)*1000000</f>
        <v>2070.1705310008333</v>
      </c>
      <c r="M28" s="12" t="s">
        <v>21</v>
      </c>
    </row>
    <row r="29" spans="1:16">
      <c r="M29" s="14" t="s">
        <v>35</v>
      </c>
    </row>
    <row r="30" spans="1:16">
      <c r="M30" s="15" t="s">
        <v>22</v>
      </c>
    </row>
    <row r="31" spans="1:16">
      <c r="M31" t="s">
        <v>23</v>
      </c>
    </row>
    <row r="32" spans="1:16">
      <c r="M32" s="16" t="s">
        <v>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sqref="A1:O32"/>
    </sheetView>
  </sheetViews>
  <sheetFormatPr baseColWidth="10" defaultRowHeight="15" x14ac:dyDescent="0"/>
  <cols>
    <col min="1" max="1" width="32.5" customWidth="1"/>
    <col min="16" max="16" width="12.83203125" bestFit="1" customWidth="1"/>
  </cols>
  <sheetData>
    <row r="1" spans="1:16" ht="30">
      <c r="A1" s="1" t="s">
        <v>0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  <c r="P1" s="25" t="s">
        <v>24</v>
      </c>
    </row>
    <row r="2" spans="1:16">
      <c r="A2" s="1" t="s">
        <v>1</v>
      </c>
      <c r="B2">
        <v>0.1</v>
      </c>
      <c r="C2" t="s">
        <v>6</v>
      </c>
      <c r="D2">
        <v>0</v>
      </c>
      <c r="E2" s="4"/>
      <c r="F2" s="6"/>
      <c r="G2" s="8">
        <f>F2+273.15</f>
        <v>273.14999999999998</v>
      </c>
      <c r="H2" s="9"/>
      <c r="I2" s="11">
        <f>H2/1000</f>
        <v>0</v>
      </c>
      <c r="J2" s="12"/>
      <c r="K2" s="14">
        <f>$J$2-J2</f>
        <v>0</v>
      </c>
      <c r="L2" s="15">
        <f>K2/1000</f>
        <v>0</v>
      </c>
      <c r="M2">
        <f>(0.12677+(L2/1000))*(2.7183^(I2/((8.314472*G2)/96485.3399)))</f>
        <v>0.12676999999999999</v>
      </c>
      <c r="N2" t="e">
        <f>I2-((8.314472*G2)/96485.3399)*LN(((-0.12677*0.002)+(L2*0.1))/(0.12677+L2))</f>
        <v>#NUM!</v>
      </c>
    </row>
    <row r="3" spans="1:16">
      <c r="A3" s="1" t="s">
        <v>2</v>
      </c>
      <c r="B3">
        <v>8.3144720000000003</v>
      </c>
      <c r="C3" t="s">
        <v>4</v>
      </c>
      <c r="D3">
        <v>1</v>
      </c>
      <c r="E3" s="27"/>
      <c r="F3" s="28"/>
      <c r="G3" s="29">
        <f t="shared" ref="G3:G18" si="0">F3+273.15</f>
        <v>273.14999999999998</v>
      </c>
      <c r="H3" s="30"/>
      <c r="I3" s="31">
        <f t="shared" ref="I3:I18" si="1">H3/1000</f>
        <v>0</v>
      </c>
      <c r="J3" s="32"/>
      <c r="K3" s="33">
        <f t="shared" ref="K3:K18" si="2">$J$2-J3</f>
        <v>0</v>
      </c>
      <c r="L3" s="34">
        <f t="shared" ref="L3:L18" si="3">K3/1000</f>
        <v>0</v>
      </c>
      <c r="M3" s="16">
        <f t="shared" ref="M3:M18" si="4">(0.12677+(L3/1000))*(2.7183^(I3/((8.314472*G3)/96485.3399)))</f>
        <v>0.12676999999999999</v>
      </c>
      <c r="N3" s="16" t="e">
        <f>I3-((8.314472*G3)/96485.3399)*LN(((-0.12677*0.002)+(L3*0.1))/(0.12677+L3))</f>
        <v>#NUM!</v>
      </c>
      <c r="O3" s="16" t="e">
        <f>2.7183^((I3-N3)/((8.314472*G3)/96485.3399))</f>
        <v>#NUM!</v>
      </c>
      <c r="P3" s="16" t="e">
        <f>-LOG10(O3)</f>
        <v>#NUM!</v>
      </c>
    </row>
    <row r="4" spans="1:16">
      <c r="A4" s="1" t="s">
        <v>3</v>
      </c>
      <c r="B4">
        <v>96485.339900000006</v>
      </c>
      <c r="C4" t="s">
        <v>5</v>
      </c>
      <c r="D4">
        <v>2</v>
      </c>
      <c r="E4" s="27"/>
      <c r="F4" s="28"/>
      <c r="G4" s="29">
        <f t="shared" si="0"/>
        <v>273.14999999999998</v>
      </c>
      <c r="H4" s="30"/>
      <c r="I4" s="31">
        <f t="shared" si="1"/>
        <v>0</v>
      </c>
      <c r="J4" s="32"/>
      <c r="K4" s="33">
        <f t="shared" si="2"/>
        <v>0</v>
      </c>
      <c r="L4" s="34">
        <f t="shared" si="3"/>
        <v>0</v>
      </c>
      <c r="M4" s="16">
        <f t="shared" si="4"/>
        <v>0.12676999999999999</v>
      </c>
      <c r="N4" s="16" t="e">
        <f t="shared" ref="N4:N18" si="5">I4-((8.314472*G4)/96485.3399)*LN(((-0.12677*0.002)+(L4*0.1))/(0.12677+L4))</f>
        <v>#NUM!</v>
      </c>
      <c r="O4" s="16" t="e">
        <f t="shared" ref="O4:O18" si="6">2.7183^((I4-N4)/((8.314472*G4)/96485.3399))</f>
        <v>#NUM!</v>
      </c>
      <c r="P4" s="16" t="e">
        <f t="shared" ref="P4:P18" si="7">-LOG10(O4)</f>
        <v>#NUM!</v>
      </c>
    </row>
    <row r="5" spans="1:16">
      <c r="A5" s="1" t="s">
        <v>12</v>
      </c>
      <c r="B5">
        <v>2.7183000000000002</v>
      </c>
      <c r="D5">
        <v>3</v>
      </c>
      <c r="E5" s="27"/>
      <c r="F5" s="28"/>
      <c r="G5" s="29">
        <f t="shared" si="0"/>
        <v>273.14999999999998</v>
      </c>
      <c r="H5" s="30"/>
      <c r="I5" s="31">
        <f t="shared" si="1"/>
        <v>0</v>
      </c>
      <c r="J5" s="32"/>
      <c r="K5" s="33">
        <f t="shared" si="2"/>
        <v>0</v>
      </c>
      <c r="L5" s="34">
        <f t="shared" si="3"/>
        <v>0</v>
      </c>
      <c r="M5" s="16">
        <f t="shared" si="4"/>
        <v>0.12676999999999999</v>
      </c>
      <c r="N5" s="16" t="e">
        <f t="shared" si="5"/>
        <v>#NUM!</v>
      </c>
      <c r="O5" s="16" t="e">
        <f t="shared" si="6"/>
        <v>#NUM!</v>
      </c>
      <c r="P5" s="16" t="e">
        <f t="shared" si="7"/>
        <v>#NUM!</v>
      </c>
    </row>
    <row r="6" spans="1:16">
      <c r="D6">
        <v>4</v>
      </c>
      <c r="E6" s="27"/>
      <c r="F6" s="28"/>
      <c r="G6" s="29">
        <f t="shared" si="0"/>
        <v>273.14999999999998</v>
      </c>
      <c r="H6" s="30"/>
      <c r="I6" s="31">
        <f t="shared" si="1"/>
        <v>0</v>
      </c>
      <c r="J6" s="32"/>
      <c r="K6" s="33">
        <f t="shared" si="2"/>
        <v>0</v>
      </c>
      <c r="L6" s="34">
        <f t="shared" si="3"/>
        <v>0</v>
      </c>
      <c r="M6" s="16">
        <f t="shared" si="4"/>
        <v>0.12676999999999999</v>
      </c>
      <c r="N6" s="16" t="e">
        <f t="shared" si="5"/>
        <v>#NUM!</v>
      </c>
      <c r="O6" s="16" t="e">
        <f t="shared" si="6"/>
        <v>#NUM!</v>
      </c>
      <c r="P6" s="16" t="e">
        <f t="shared" si="7"/>
        <v>#NUM!</v>
      </c>
    </row>
    <row r="7" spans="1:16">
      <c r="D7">
        <v>5</v>
      </c>
      <c r="E7" s="27"/>
      <c r="F7" s="28"/>
      <c r="G7" s="29">
        <f t="shared" si="0"/>
        <v>273.14999999999998</v>
      </c>
      <c r="H7" s="30"/>
      <c r="I7" s="31">
        <f t="shared" si="1"/>
        <v>0</v>
      </c>
      <c r="J7" s="32"/>
      <c r="K7" s="33">
        <f t="shared" si="2"/>
        <v>0</v>
      </c>
      <c r="L7" s="34">
        <f t="shared" si="3"/>
        <v>0</v>
      </c>
      <c r="M7" s="16">
        <f t="shared" si="4"/>
        <v>0.12676999999999999</v>
      </c>
      <c r="N7" s="16" t="e">
        <f t="shared" si="5"/>
        <v>#NUM!</v>
      </c>
      <c r="O7" s="16" t="e">
        <f t="shared" si="6"/>
        <v>#NUM!</v>
      </c>
      <c r="P7" s="16" t="e">
        <f t="shared" si="7"/>
        <v>#NUM!</v>
      </c>
    </row>
    <row r="8" spans="1:16">
      <c r="D8">
        <v>6</v>
      </c>
      <c r="E8" s="27"/>
      <c r="F8" s="28"/>
      <c r="G8" s="29">
        <f t="shared" si="0"/>
        <v>273.14999999999998</v>
      </c>
      <c r="H8" s="30"/>
      <c r="I8" s="31">
        <f t="shared" si="1"/>
        <v>0</v>
      </c>
      <c r="J8" s="32"/>
      <c r="K8" s="33">
        <f t="shared" si="2"/>
        <v>0</v>
      </c>
      <c r="L8" s="34">
        <f t="shared" si="3"/>
        <v>0</v>
      </c>
      <c r="M8" s="16">
        <f t="shared" si="4"/>
        <v>0.12676999999999999</v>
      </c>
      <c r="N8" s="16" t="e">
        <f t="shared" si="5"/>
        <v>#NUM!</v>
      </c>
      <c r="O8" s="16" t="e">
        <f t="shared" si="6"/>
        <v>#NUM!</v>
      </c>
      <c r="P8" s="16" t="e">
        <f t="shared" si="7"/>
        <v>#NUM!</v>
      </c>
    </row>
    <row r="9" spans="1:16">
      <c r="D9">
        <v>7</v>
      </c>
      <c r="E9" s="27"/>
      <c r="F9" s="28"/>
      <c r="G9" s="29">
        <f t="shared" si="0"/>
        <v>273.14999999999998</v>
      </c>
      <c r="H9" s="30"/>
      <c r="I9" s="31">
        <f t="shared" si="1"/>
        <v>0</v>
      </c>
      <c r="J9" s="32"/>
      <c r="K9" s="33">
        <f t="shared" si="2"/>
        <v>0</v>
      </c>
      <c r="L9" s="34">
        <f t="shared" si="3"/>
        <v>0</v>
      </c>
      <c r="M9" s="16">
        <f t="shared" si="4"/>
        <v>0.12676999999999999</v>
      </c>
      <c r="N9" s="16" t="e">
        <f t="shared" si="5"/>
        <v>#NUM!</v>
      </c>
      <c r="O9" s="16" t="e">
        <f t="shared" si="6"/>
        <v>#NUM!</v>
      </c>
      <c r="P9" s="16" t="e">
        <f t="shared" si="7"/>
        <v>#NUM!</v>
      </c>
    </row>
    <row r="10" spans="1:16">
      <c r="D10">
        <v>8</v>
      </c>
      <c r="E10" s="27"/>
      <c r="F10" s="28"/>
      <c r="G10" s="29">
        <f t="shared" si="0"/>
        <v>273.14999999999998</v>
      </c>
      <c r="H10" s="30"/>
      <c r="I10" s="31">
        <f t="shared" si="1"/>
        <v>0</v>
      </c>
      <c r="J10" s="32"/>
      <c r="K10" s="33">
        <f t="shared" si="2"/>
        <v>0</v>
      </c>
      <c r="L10" s="34">
        <f t="shared" si="3"/>
        <v>0</v>
      </c>
      <c r="M10" s="16">
        <f t="shared" si="4"/>
        <v>0.12676999999999999</v>
      </c>
      <c r="N10" s="16" t="e">
        <f t="shared" si="5"/>
        <v>#NUM!</v>
      </c>
      <c r="O10" s="16" t="e">
        <f t="shared" si="6"/>
        <v>#NUM!</v>
      </c>
      <c r="P10" s="16" t="e">
        <f t="shared" si="7"/>
        <v>#NUM!</v>
      </c>
    </row>
    <row r="11" spans="1:16">
      <c r="D11">
        <v>9</v>
      </c>
      <c r="E11" s="27"/>
      <c r="F11" s="28"/>
      <c r="G11" s="29">
        <f t="shared" si="0"/>
        <v>273.14999999999998</v>
      </c>
      <c r="H11" s="30"/>
      <c r="I11" s="31">
        <f t="shared" si="1"/>
        <v>0</v>
      </c>
      <c r="J11" s="32"/>
      <c r="K11" s="33">
        <f t="shared" si="2"/>
        <v>0</v>
      </c>
      <c r="L11" s="34">
        <f t="shared" si="3"/>
        <v>0</v>
      </c>
      <c r="M11" s="16">
        <f t="shared" si="4"/>
        <v>0.12676999999999999</v>
      </c>
      <c r="N11" s="16" t="e">
        <f t="shared" si="5"/>
        <v>#NUM!</v>
      </c>
      <c r="O11" s="16" t="e">
        <f t="shared" si="6"/>
        <v>#NUM!</v>
      </c>
      <c r="P11" s="16" t="e">
        <f t="shared" si="7"/>
        <v>#NUM!</v>
      </c>
    </row>
    <row r="12" spans="1:16">
      <c r="D12">
        <v>10</v>
      </c>
      <c r="E12" s="27"/>
      <c r="F12" s="28"/>
      <c r="G12" s="29">
        <f t="shared" si="0"/>
        <v>273.14999999999998</v>
      </c>
      <c r="H12" s="30"/>
      <c r="I12" s="31">
        <f t="shared" si="1"/>
        <v>0</v>
      </c>
      <c r="J12" s="32"/>
      <c r="K12" s="33">
        <f t="shared" si="2"/>
        <v>0</v>
      </c>
      <c r="L12" s="34">
        <f t="shared" si="3"/>
        <v>0</v>
      </c>
      <c r="M12" s="16">
        <f t="shared" si="4"/>
        <v>0.12676999999999999</v>
      </c>
      <c r="N12" s="16" t="e">
        <f t="shared" si="5"/>
        <v>#NUM!</v>
      </c>
      <c r="O12" s="16" t="e">
        <f t="shared" si="6"/>
        <v>#NUM!</v>
      </c>
      <c r="P12" s="16" t="e">
        <f t="shared" si="7"/>
        <v>#NUM!</v>
      </c>
    </row>
    <row r="13" spans="1:16">
      <c r="D13">
        <v>11</v>
      </c>
      <c r="E13" s="27"/>
      <c r="F13" s="28"/>
      <c r="G13" s="29">
        <f t="shared" si="0"/>
        <v>273.14999999999998</v>
      </c>
      <c r="H13" s="30"/>
      <c r="I13" s="31">
        <f t="shared" si="1"/>
        <v>0</v>
      </c>
      <c r="J13" s="32"/>
      <c r="K13" s="33">
        <f t="shared" si="2"/>
        <v>0</v>
      </c>
      <c r="L13" s="34">
        <f t="shared" si="3"/>
        <v>0</v>
      </c>
      <c r="M13" s="16">
        <f t="shared" si="4"/>
        <v>0.12676999999999999</v>
      </c>
      <c r="N13" s="16" t="e">
        <f t="shared" si="5"/>
        <v>#NUM!</v>
      </c>
      <c r="O13" s="16" t="e">
        <f t="shared" si="6"/>
        <v>#NUM!</v>
      </c>
      <c r="P13" s="16" t="e">
        <f t="shared" si="7"/>
        <v>#NUM!</v>
      </c>
    </row>
    <row r="14" spans="1:16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0</v>
      </c>
      <c r="L14" s="15">
        <f t="shared" si="3"/>
        <v>0</v>
      </c>
      <c r="M14">
        <f t="shared" si="4"/>
        <v>0.12676999999999999</v>
      </c>
      <c r="N14" t="e">
        <f t="shared" si="5"/>
        <v>#NUM!</v>
      </c>
      <c r="O14" t="e">
        <f t="shared" si="6"/>
        <v>#NUM!</v>
      </c>
      <c r="P14" t="e">
        <f t="shared" si="7"/>
        <v>#NUM!</v>
      </c>
    </row>
    <row r="15" spans="1:16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0</v>
      </c>
      <c r="L15" s="15">
        <f t="shared" si="3"/>
        <v>0</v>
      </c>
      <c r="M15">
        <f t="shared" si="4"/>
        <v>0.12676999999999999</v>
      </c>
      <c r="N15" t="e">
        <f t="shared" si="5"/>
        <v>#NUM!</v>
      </c>
      <c r="O15" t="e">
        <f t="shared" si="6"/>
        <v>#NUM!</v>
      </c>
      <c r="P15" t="e">
        <f t="shared" si="7"/>
        <v>#NUM!</v>
      </c>
    </row>
    <row r="16" spans="1:16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0</v>
      </c>
      <c r="L16" s="15">
        <f t="shared" si="3"/>
        <v>0</v>
      </c>
      <c r="M16">
        <f t="shared" si="4"/>
        <v>0.12676999999999999</v>
      </c>
      <c r="N16" t="e">
        <f t="shared" si="5"/>
        <v>#NUM!</v>
      </c>
      <c r="O16" t="e">
        <f t="shared" si="6"/>
        <v>#NUM!</v>
      </c>
      <c r="P16" t="e">
        <f t="shared" si="7"/>
        <v>#NUM!</v>
      </c>
    </row>
    <row r="17" spans="1:16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0</v>
      </c>
      <c r="L17" s="15">
        <f t="shared" si="3"/>
        <v>0</v>
      </c>
      <c r="M17">
        <f t="shared" si="4"/>
        <v>0.12676999999999999</v>
      </c>
      <c r="N17" t="e">
        <f t="shared" si="5"/>
        <v>#NUM!</v>
      </c>
      <c r="O17" t="e">
        <f t="shared" si="6"/>
        <v>#NUM!</v>
      </c>
      <c r="P17" t="e">
        <f t="shared" si="7"/>
        <v>#NUM!</v>
      </c>
    </row>
    <row r="18" spans="1:16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0</v>
      </c>
      <c r="L18" s="15">
        <f t="shared" si="3"/>
        <v>0</v>
      </c>
      <c r="M18">
        <f t="shared" si="4"/>
        <v>0.12676999999999999</v>
      </c>
      <c r="N18" t="e">
        <f t="shared" si="5"/>
        <v>#NUM!</v>
      </c>
      <c r="O18" t="e">
        <f t="shared" si="6"/>
        <v>#NUM!</v>
      </c>
      <c r="P18" t="e">
        <f t="shared" si="7"/>
        <v>#NUM!</v>
      </c>
    </row>
    <row r="22" spans="1:16">
      <c r="I22" s="3"/>
      <c r="M22" t="s">
        <v>31</v>
      </c>
    </row>
    <row r="23" spans="1:16">
      <c r="M23" s="4" t="s">
        <v>18</v>
      </c>
    </row>
    <row r="24" spans="1:16">
      <c r="A24" t="s">
        <v>27</v>
      </c>
      <c r="M24" s="6" t="s">
        <v>19</v>
      </c>
    </row>
    <row r="25" spans="1:16">
      <c r="A25" s="16" t="s">
        <v>26</v>
      </c>
      <c r="B25" t="e">
        <f>SLOPE(M3:M13,L3:L13)</f>
        <v>#DIV/0!</v>
      </c>
      <c r="M25" s="8" t="s">
        <v>36</v>
      </c>
    </row>
    <row r="26" spans="1:16">
      <c r="A26" s="16" t="s">
        <v>28</v>
      </c>
      <c r="B26" t="e">
        <f>INTERCEPT(M3:M13,L3:L13)</f>
        <v>#DIV/0!</v>
      </c>
      <c r="M26" s="9" t="s">
        <v>20</v>
      </c>
    </row>
    <row r="27" spans="1:16" ht="16">
      <c r="A27" s="16" t="s">
        <v>32</v>
      </c>
      <c r="B27" t="e">
        <f>-B26/B25</f>
        <v>#DIV/0!</v>
      </c>
      <c r="M27" s="11" t="s">
        <v>37</v>
      </c>
      <c r="N27" s="11"/>
    </row>
    <row r="28" spans="1:16">
      <c r="A28" s="16" t="s">
        <v>29</v>
      </c>
      <c r="B28" t="e">
        <f>((B27*B2)/B1)*1000000</f>
        <v>#DIV/0!</v>
      </c>
      <c r="M28" s="12" t="s">
        <v>21</v>
      </c>
    </row>
    <row r="29" spans="1:16">
      <c r="M29" s="14" t="s">
        <v>35</v>
      </c>
    </row>
    <row r="30" spans="1:16">
      <c r="M30" s="15" t="s">
        <v>22</v>
      </c>
    </row>
    <row r="31" spans="1:16">
      <c r="M31" t="s">
        <v>23</v>
      </c>
    </row>
    <row r="32" spans="1:16">
      <c r="M32" s="16" t="s">
        <v>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sqref="A1:P1048576"/>
    </sheetView>
  </sheetViews>
  <sheetFormatPr baseColWidth="10" defaultRowHeight="15" x14ac:dyDescent="0"/>
  <cols>
    <col min="1" max="1" width="32.5" customWidth="1"/>
    <col min="16" max="16" width="12.83203125" bestFit="1" customWidth="1"/>
  </cols>
  <sheetData>
    <row r="1" spans="1:16" ht="30">
      <c r="A1" s="1" t="s">
        <v>0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  <c r="P1" s="25" t="s">
        <v>24</v>
      </c>
    </row>
    <row r="2" spans="1:16">
      <c r="A2" s="1" t="s">
        <v>1</v>
      </c>
      <c r="B2">
        <v>0.1</v>
      </c>
      <c r="C2" t="s">
        <v>6</v>
      </c>
      <c r="D2">
        <v>0</v>
      </c>
      <c r="E2" s="4"/>
      <c r="F2" s="6"/>
      <c r="G2" s="8">
        <f>F2+273.15</f>
        <v>273.14999999999998</v>
      </c>
      <c r="H2" s="9"/>
      <c r="I2" s="11">
        <f>H2/1000</f>
        <v>0</v>
      </c>
      <c r="J2" s="12"/>
      <c r="K2" s="14">
        <f>$J$2-J2</f>
        <v>0</v>
      </c>
      <c r="L2" s="15">
        <f>K2/1000</f>
        <v>0</v>
      </c>
      <c r="M2">
        <f>(0.12677+(L2/1000))*(2.7183^(I2/((8.314472*G2)/96485.3399)))</f>
        <v>0.12676999999999999</v>
      </c>
      <c r="N2" t="e">
        <f>I2-((8.314472*G2)/96485.3399)*LN(((-0.12677*0.002)+(L2*0.1))/(0.12677+L2))</f>
        <v>#NUM!</v>
      </c>
    </row>
    <row r="3" spans="1:16">
      <c r="A3" s="1" t="s">
        <v>2</v>
      </c>
      <c r="B3">
        <v>8.3144720000000003</v>
      </c>
      <c r="C3" t="s">
        <v>4</v>
      </c>
      <c r="D3">
        <v>1</v>
      </c>
      <c r="E3" s="27"/>
      <c r="F3" s="28"/>
      <c r="G3" s="29">
        <f t="shared" ref="G3:G18" si="0">F3+273.15</f>
        <v>273.14999999999998</v>
      </c>
      <c r="H3" s="30"/>
      <c r="I3" s="31">
        <f t="shared" ref="I3:I18" si="1">H3/1000</f>
        <v>0</v>
      </c>
      <c r="J3" s="32"/>
      <c r="K3" s="33">
        <f t="shared" ref="K3:K18" si="2">$J$2-J3</f>
        <v>0</v>
      </c>
      <c r="L3" s="34">
        <f t="shared" ref="L3:L18" si="3">K3/1000</f>
        <v>0</v>
      </c>
      <c r="M3" s="16">
        <f t="shared" ref="M3:M18" si="4">(0.12677+(L3/1000))*(2.7183^(I3/((8.314472*G3)/96485.3399)))</f>
        <v>0.12676999999999999</v>
      </c>
      <c r="N3" s="16" t="e">
        <f>I3-((8.314472*G3)/96485.3399)*LN(((-0.12677*0.002)+(L3*0.1))/(0.12677+L3))</f>
        <v>#NUM!</v>
      </c>
      <c r="O3" s="16" t="e">
        <f>2.7183^((I3-N3)/((8.314472*G3)/96485.3399))</f>
        <v>#NUM!</v>
      </c>
      <c r="P3" s="16" t="e">
        <f>-LOG10(O3)</f>
        <v>#NUM!</v>
      </c>
    </row>
    <row r="4" spans="1:16">
      <c r="A4" s="1" t="s">
        <v>3</v>
      </c>
      <c r="B4">
        <v>96485.339900000006</v>
      </c>
      <c r="C4" t="s">
        <v>5</v>
      </c>
      <c r="D4">
        <v>2</v>
      </c>
      <c r="E4" s="27"/>
      <c r="F4" s="28"/>
      <c r="G4" s="29">
        <f t="shared" si="0"/>
        <v>273.14999999999998</v>
      </c>
      <c r="H4" s="30"/>
      <c r="I4" s="31">
        <f t="shared" si="1"/>
        <v>0</v>
      </c>
      <c r="J4" s="32"/>
      <c r="K4" s="33">
        <f t="shared" si="2"/>
        <v>0</v>
      </c>
      <c r="L4" s="34">
        <f t="shared" si="3"/>
        <v>0</v>
      </c>
      <c r="M4" s="16">
        <f t="shared" si="4"/>
        <v>0.12676999999999999</v>
      </c>
      <c r="N4" s="16" t="e">
        <f t="shared" ref="N4:N18" si="5">I4-((8.314472*G4)/96485.3399)*LN(((-0.12677*0.002)+(L4*0.1))/(0.12677+L4))</f>
        <v>#NUM!</v>
      </c>
      <c r="O4" s="16" t="e">
        <f t="shared" ref="O4:O18" si="6">2.7183^((I4-N4)/((8.314472*G4)/96485.3399))</f>
        <v>#NUM!</v>
      </c>
      <c r="P4" s="16" t="e">
        <f t="shared" ref="P4:P18" si="7">-LOG10(O4)</f>
        <v>#NUM!</v>
      </c>
    </row>
    <row r="5" spans="1:16">
      <c r="A5" s="1" t="s">
        <v>12</v>
      </c>
      <c r="B5">
        <v>2.7183000000000002</v>
      </c>
      <c r="D5">
        <v>3</v>
      </c>
      <c r="E5" s="27"/>
      <c r="F5" s="28"/>
      <c r="G5" s="29">
        <f t="shared" si="0"/>
        <v>273.14999999999998</v>
      </c>
      <c r="H5" s="30"/>
      <c r="I5" s="31">
        <f t="shared" si="1"/>
        <v>0</v>
      </c>
      <c r="J5" s="32"/>
      <c r="K5" s="33">
        <f t="shared" si="2"/>
        <v>0</v>
      </c>
      <c r="L5" s="34">
        <f t="shared" si="3"/>
        <v>0</v>
      </c>
      <c r="M5" s="16">
        <f t="shared" si="4"/>
        <v>0.12676999999999999</v>
      </c>
      <c r="N5" s="16" t="e">
        <f t="shared" si="5"/>
        <v>#NUM!</v>
      </c>
      <c r="O5" s="16" t="e">
        <f t="shared" si="6"/>
        <v>#NUM!</v>
      </c>
      <c r="P5" s="16" t="e">
        <f t="shared" si="7"/>
        <v>#NUM!</v>
      </c>
    </row>
    <row r="6" spans="1:16">
      <c r="D6">
        <v>4</v>
      </c>
      <c r="E6" s="27"/>
      <c r="F6" s="28"/>
      <c r="G6" s="29">
        <f t="shared" si="0"/>
        <v>273.14999999999998</v>
      </c>
      <c r="H6" s="30"/>
      <c r="I6" s="31">
        <f t="shared" si="1"/>
        <v>0</v>
      </c>
      <c r="J6" s="32"/>
      <c r="K6" s="33">
        <f t="shared" si="2"/>
        <v>0</v>
      </c>
      <c r="L6" s="34">
        <f t="shared" si="3"/>
        <v>0</v>
      </c>
      <c r="M6" s="16">
        <f t="shared" si="4"/>
        <v>0.12676999999999999</v>
      </c>
      <c r="N6" s="16" t="e">
        <f t="shared" si="5"/>
        <v>#NUM!</v>
      </c>
      <c r="O6" s="16" t="e">
        <f t="shared" si="6"/>
        <v>#NUM!</v>
      </c>
      <c r="P6" s="16" t="e">
        <f t="shared" si="7"/>
        <v>#NUM!</v>
      </c>
    </row>
    <row r="7" spans="1:16">
      <c r="D7">
        <v>5</v>
      </c>
      <c r="E7" s="27"/>
      <c r="F7" s="28"/>
      <c r="G7" s="29">
        <f t="shared" si="0"/>
        <v>273.14999999999998</v>
      </c>
      <c r="H7" s="30"/>
      <c r="I7" s="31">
        <f t="shared" si="1"/>
        <v>0</v>
      </c>
      <c r="J7" s="32"/>
      <c r="K7" s="33">
        <f t="shared" si="2"/>
        <v>0</v>
      </c>
      <c r="L7" s="34">
        <f t="shared" si="3"/>
        <v>0</v>
      </c>
      <c r="M7" s="16">
        <f t="shared" si="4"/>
        <v>0.12676999999999999</v>
      </c>
      <c r="N7" s="16" t="e">
        <f t="shared" si="5"/>
        <v>#NUM!</v>
      </c>
      <c r="O7" s="16" t="e">
        <f t="shared" si="6"/>
        <v>#NUM!</v>
      </c>
      <c r="P7" s="16" t="e">
        <f t="shared" si="7"/>
        <v>#NUM!</v>
      </c>
    </row>
    <row r="8" spans="1:16">
      <c r="D8">
        <v>6</v>
      </c>
      <c r="E8" s="27"/>
      <c r="F8" s="28"/>
      <c r="G8" s="29">
        <f t="shared" si="0"/>
        <v>273.14999999999998</v>
      </c>
      <c r="H8" s="30"/>
      <c r="I8" s="31">
        <f t="shared" si="1"/>
        <v>0</v>
      </c>
      <c r="J8" s="32"/>
      <c r="K8" s="33">
        <f t="shared" si="2"/>
        <v>0</v>
      </c>
      <c r="L8" s="34">
        <f t="shared" si="3"/>
        <v>0</v>
      </c>
      <c r="M8" s="16">
        <f t="shared" si="4"/>
        <v>0.12676999999999999</v>
      </c>
      <c r="N8" s="16" t="e">
        <f t="shared" si="5"/>
        <v>#NUM!</v>
      </c>
      <c r="O8" s="16" t="e">
        <f t="shared" si="6"/>
        <v>#NUM!</v>
      </c>
      <c r="P8" s="16" t="e">
        <f t="shared" si="7"/>
        <v>#NUM!</v>
      </c>
    </row>
    <row r="9" spans="1:16">
      <c r="D9">
        <v>7</v>
      </c>
      <c r="E9" s="27"/>
      <c r="F9" s="28"/>
      <c r="G9" s="29">
        <f t="shared" si="0"/>
        <v>273.14999999999998</v>
      </c>
      <c r="H9" s="30"/>
      <c r="I9" s="31">
        <f t="shared" si="1"/>
        <v>0</v>
      </c>
      <c r="J9" s="32"/>
      <c r="K9" s="33">
        <f t="shared" si="2"/>
        <v>0</v>
      </c>
      <c r="L9" s="34">
        <f t="shared" si="3"/>
        <v>0</v>
      </c>
      <c r="M9" s="16">
        <f t="shared" si="4"/>
        <v>0.12676999999999999</v>
      </c>
      <c r="N9" s="16" t="e">
        <f t="shared" si="5"/>
        <v>#NUM!</v>
      </c>
      <c r="O9" s="16" t="e">
        <f t="shared" si="6"/>
        <v>#NUM!</v>
      </c>
      <c r="P9" s="16" t="e">
        <f t="shared" si="7"/>
        <v>#NUM!</v>
      </c>
    </row>
    <row r="10" spans="1:16">
      <c r="D10">
        <v>8</v>
      </c>
      <c r="E10" s="27"/>
      <c r="F10" s="28"/>
      <c r="G10" s="29">
        <f t="shared" si="0"/>
        <v>273.14999999999998</v>
      </c>
      <c r="H10" s="30"/>
      <c r="I10" s="31">
        <f t="shared" si="1"/>
        <v>0</v>
      </c>
      <c r="J10" s="32"/>
      <c r="K10" s="33">
        <f t="shared" si="2"/>
        <v>0</v>
      </c>
      <c r="L10" s="34">
        <f t="shared" si="3"/>
        <v>0</v>
      </c>
      <c r="M10" s="16">
        <f t="shared" si="4"/>
        <v>0.12676999999999999</v>
      </c>
      <c r="N10" s="16" t="e">
        <f t="shared" si="5"/>
        <v>#NUM!</v>
      </c>
      <c r="O10" s="16" t="e">
        <f t="shared" si="6"/>
        <v>#NUM!</v>
      </c>
      <c r="P10" s="16" t="e">
        <f t="shared" si="7"/>
        <v>#NUM!</v>
      </c>
    </row>
    <row r="11" spans="1:16">
      <c r="D11">
        <v>9</v>
      </c>
      <c r="E11" s="27"/>
      <c r="F11" s="28"/>
      <c r="G11" s="29">
        <f t="shared" si="0"/>
        <v>273.14999999999998</v>
      </c>
      <c r="H11" s="30"/>
      <c r="I11" s="31">
        <f t="shared" si="1"/>
        <v>0</v>
      </c>
      <c r="J11" s="32"/>
      <c r="K11" s="33">
        <f t="shared" si="2"/>
        <v>0</v>
      </c>
      <c r="L11" s="34">
        <f t="shared" si="3"/>
        <v>0</v>
      </c>
      <c r="M11" s="16">
        <f t="shared" si="4"/>
        <v>0.12676999999999999</v>
      </c>
      <c r="N11" s="16" t="e">
        <f t="shared" si="5"/>
        <v>#NUM!</v>
      </c>
      <c r="O11" s="16" t="e">
        <f t="shared" si="6"/>
        <v>#NUM!</v>
      </c>
      <c r="P11" s="16" t="e">
        <f t="shared" si="7"/>
        <v>#NUM!</v>
      </c>
    </row>
    <row r="12" spans="1:16">
      <c r="D12">
        <v>10</v>
      </c>
      <c r="E12" s="27"/>
      <c r="F12" s="28"/>
      <c r="G12" s="29">
        <f t="shared" si="0"/>
        <v>273.14999999999998</v>
      </c>
      <c r="H12" s="30"/>
      <c r="I12" s="31">
        <f t="shared" si="1"/>
        <v>0</v>
      </c>
      <c r="J12" s="32"/>
      <c r="K12" s="33">
        <f t="shared" si="2"/>
        <v>0</v>
      </c>
      <c r="L12" s="34">
        <f t="shared" si="3"/>
        <v>0</v>
      </c>
      <c r="M12" s="16">
        <f t="shared" si="4"/>
        <v>0.12676999999999999</v>
      </c>
      <c r="N12" s="16" t="e">
        <f t="shared" si="5"/>
        <v>#NUM!</v>
      </c>
      <c r="O12" s="16" t="e">
        <f t="shared" si="6"/>
        <v>#NUM!</v>
      </c>
      <c r="P12" s="16" t="e">
        <f t="shared" si="7"/>
        <v>#NUM!</v>
      </c>
    </row>
    <row r="13" spans="1:16">
      <c r="D13">
        <v>11</v>
      </c>
      <c r="E13" s="27"/>
      <c r="F13" s="28"/>
      <c r="G13" s="29">
        <f t="shared" si="0"/>
        <v>273.14999999999998</v>
      </c>
      <c r="H13" s="30"/>
      <c r="I13" s="31">
        <f t="shared" si="1"/>
        <v>0</v>
      </c>
      <c r="J13" s="32"/>
      <c r="K13" s="33">
        <f t="shared" si="2"/>
        <v>0</v>
      </c>
      <c r="L13" s="34">
        <f t="shared" si="3"/>
        <v>0</v>
      </c>
      <c r="M13" s="16">
        <f t="shared" si="4"/>
        <v>0.12676999999999999</v>
      </c>
      <c r="N13" s="16" t="e">
        <f t="shared" si="5"/>
        <v>#NUM!</v>
      </c>
      <c r="O13" s="16" t="e">
        <f t="shared" si="6"/>
        <v>#NUM!</v>
      </c>
      <c r="P13" s="16" t="e">
        <f t="shared" si="7"/>
        <v>#NUM!</v>
      </c>
    </row>
    <row r="14" spans="1:16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0</v>
      </c>
      <c r="L14" s="15">
        <f t="shared" si="3"/>
        <v>0</v>
      </c>
      <c r="M14">
        <f t="shared" si="4"/>
        <v>0.12676999999999999</v>
      </c>
      <c r="N14" t="e">
        <f t="shared" si="5"/>
        <v>#NUM!</v>
      </c>
      <c r="O14" t="e">
        <f t="shared" si="6"/>
        <v>#NUM!</v>
      </c>
      <c r="P14" t="e">
        <f t="shared" si="7"/>
        <v>#NUM!</v>
      </c>
    </row>
    <row r="15" spans="1:16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0</v>
      </c>
      <c r="L15" s="15">
        <f t="shared" si="3"/>
        <v>0</v>
      </c>
      <c r="M15">
        <f t="shared" si="4"/>
        <v>0.12676999999999999</v>
      </c>
      <c r="N15" t="e">
        <f t="shared" si="5"/>
        <v>#NUM!</v>
      </c>
      <c r="O15" t="e">
        <f t="shared" si="6"/>
        <v>#NUM!</v>
      </c>
      <c r="P15" t="e">
        <f t="shared" si="7"/>
        <v>#NUM!</v>
      </c>
    </row>
    <row r="16" spans="1:16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0</v>
      </c>
      <c r="L16" s="15">
        <f t="shared" si="3"/>
        <v>0</v>
      </c>
      <c r="M16">
        <f t="shared" si="4"/>
        <v>0.12676999999999999</v>
      </c>
      <c r="N16" t="e">
        <f t="shared" si="5"/>
        <v>#NUM!</v>
      </c>
      <c r="O16" t="e">
        <f t="shared" si="6"/>
        <v>#NUM!</v>
      </c>
      <c r="P16" t="e">
        <f t="shared" si="7"/>
        <v>#NUM!</v>
      </c>
    </row>
    <row r="17" spans="1:16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0</v>
      </c>
      <c r="L17" s="15">
        <f t="shared" si="3"/>
        <v>0</v>
      </c>
      <c r="M17">
        <f t="shared" si="4"/>
        <v>0.12676999999999999</v>
      </c>
      <c r="N17" t="e">
        <f t="shared" si="5"/>
        <v>#NUM!</v>
      </c>
      <c r="O17" t="e">
        <f t="shared" si="6"/>
        <v>#NUM!</v>
      </c>
      <c r="P17" t="e">
        <f t="shared" si="7"/>
        <v>#NUM!</v>
      </c>
    </row>
    <row r="18" spans="1:16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0</v>
      </c>
      <c r="L18" s="15">
        <f t="shared" si="3"/>
        <v>0</v>
      </c>
      <c r="M18">
        <f t="shared" si="4"/>
        <v>0.12676999999999999</v>
      </c>
      <c r="N18" t="e">
        <f t="shared" si="5"/>
        <v>#NUM!</v>
      </c>
      <c r="O18" t="e">
        <f t="shared" si="6"/>
        <v>#NUM!</v>
      </c>
      <c r="P18" t="e">
        <f t="shared" si="7"/>
        <v>#NUM!</v>
      </c>
    </row>
    <row r="22" spans="1:16">
      <c r="I22" s="3"/>
      <c r="M22" t="s">
        <v>31</v>
      </c>
    </row>
    <row r="23" spans="1:16">
      <c r="M23" s="4" t="s">
        <v>18</v>
      </c>
    </row>
    <row r="24" spans="1:16">
      <c r="A24" t="s">
        <v>27</v>
      </c>
      <c r="M24" s="6" t="s">
        <v>19</v>
      </c>
    </row>
    <row r="25" spans="1:16">
      <c r="A25" s="16" t="s">
        <v>26</v>
      </c>
      <c r="B25" t="e">
        <f>SLOPE(M3:M13,L3:L13)</f>
        <v>#DIV/0!</v>
      </c>
      <c r="M25" s="8" t="s">
        <v>36</v>
      </c>
    </row>
    <row r="26" spans="1:16">
      <c r="A26" s="16" t="s">
        <v>28</v>
      </c>
      <c r="B26" t="e">
        <f>INTERCEPT(M3:M13,L3:L13)</f>
        <v>#DIV/0!</v>
      </c>
      <c r="M26" s="9" t="s">
        <v>20</v>
      </c>
    </row>
    <row r="27" spans="1:16" ht="16">
      <c r="A27" s="16" t="s">
        <v>32</v>
      </c>
      <c r="B27" t="e">
        <f>-B26/B25</f>
        <v>#DIV/0!</v>
      </c>
      <c r="M27" s="11" t="s">
        <v>37</v>
      </c>
      <c r="N27" s="11"/>
    </row>
    <row r="28" spans="1:16">
      <c r="A28" s="16" t="s">
        <v>29</v>
      </c>
      <c r="B28" t="e">
        <f>((B27*B2)/B1)*1000000</f>
        <v>#DIV/0!</v>
      </c>
      <c r="M28" s="12" t="s">
        <v>21</v>
      </c>
    </row>
    <row r="29" spans="1:16">
      <c r="M29" s="14" t="s">
        <v>35</v>
      </c>
    </row>
    <row r="30" spans="1:16">
      <c r="M30" s="15" t="s">
        <v>22</v>
      </c>
    </row>
    <row r="31" spans="1:16">
      <c r="M31" t="s">
        <v>23</v>
      </c>
    </row>
    <row r="32" spans="1:16">
      <c r="M32" s="16" t="s">
        <v>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F26" sqref="F26"/>
    </sheetView>
  </sheetViews>
  <sheetFormatPr baseColWidth="10" defaultRowHeight="15" x14ac:dyDescent="0"/>
  <cols>
    <col min="1" max="1" width="32.5" customWidth="1"/>
    <col min="16" max="16" width="12.83203125" bestFit="1" customWidth="1"/>
  </cols>
  <sheetData>
    <row r="1" spans="1:16" ht="30">
      <c r="A1" s="1" t="s">
        <v>0</v>
      </c>
      <c r="B1">
        <v>0.11890000000000001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  <c r="P1" s="25" t="s">
        <v>24</v>
      </c>
    </row>
    <row r="2" spans="1:16">
      <c r="A2" s="1" t="s">
        <v>1</v>
      </c>
      <c r="B2">
        <v>0.1</v>
      </c>
      <c r="C2" t="s">
        <v>6</v>
      </c>
      <c r="D2">
        <v>0</v>
      </c>
      <c r="E2" s="4">
        <v>7.97</v>
      </c>
      <c r="F2" s="6">
        <v>18.5</v>
      </c>
      <c r="G2" s="8">
        <f>F2+273.15</f>
        <v>291.64999999999998</v>
      </c>
      <c r="H2" s="9">
        <v>-57.5</v>
      </c>
      <c r="I2" s="11">
        <f>H2/1000</f>
        <v>-5.7500000000000002E-2</v>
      </c>
      <c r="J2" s="12">
        <v>262</v>
      </c>
      <c r="K2" s="14">
        <f>$J$2-J2</f>
        <v>0</v>
      </c>
      <c r="L2" s="15">
        <f>K2/1000</f>
        <v>0</v>
      </c>
      <c r="M2">
        <f>(0.12677+(L2/1000))*(2.7183^(I2/((8.314472*G2)/96485.3399)))</f>
        <v>1.2864646011238181E-2</v>
      </c>
      <c r="N2" t="e">
        <f>I2-((8.314472*G2)/96485.3399)*LN(((-0.12677*0.002)+(L2*0.1))/(0.12677+L2))</f>
        <v>#NUM!</v>
      </c>
    </row>
    <row r="3" spans="1:16">
      <c r="A3" s="1" t="s">
        <v>2</v>
      </c>
      <c r="B3">
        <v>8.3144720000000003</v>
      </c>
      <c r="C3" t="s">
        <v>4</v>
      </c>
      <c r="D3">
        <v>1</v>
      </c>
      <c r="E3" s="27">
        <v>3.56</v>
      </c>
      <c r="F3" s="28">
        <v>18.7</v>
      </c>
      <c r="G3" s="29">
        <f t="shared" ref="G3:G18" si="0">F3+273.15</f>
        <v>291.84999999999997</v>
      </c>
      <c r="H3" s="30">
        <v>187.6</v>
      </c>
      <c r="I3" s="31">
        <f t="shared" ref="I3:I18" si="1">H3/1000</f>
        <v>0.18759999999999999</v>
      </c>
      <c r="J3" s="32">
        <v>259.10000000000002</v>
      </c>
      <c r="K3" s="33">
        <f t="shared" ref="K3:K18" si="2">$J$2-J3</f>
        <v>2.8999999999999773</v>
      </c>
      <c r="L3" s="34">
        <f t="shared" ref="L3:L18" si="3">K3/1000</f>
        <v>2.8999999999999772E-3</v>
      </c>
      <c r="M3" s="16">
        <f t="shared" ref="M3:M18" si="4">(0.12677+(L3/1000))*(2.7183^(I3/((8.314472*G3)/96485.3399)))</f>
        <v>220.08666409846677</v>
      </c>
      <c r="N3" s="16">
        <f>I3-((8.314472*G3)/96485.3399)*LN(((-0.12677*0.002)+(L3*0.1))/(0.12677+L3))</f>
        <v>0.39323744385709758</v>
      </c>
      <c r="O3" s="16">
        <f>2.7183^((I3-N3)/((8.314472*G3)/96485.3399))</f>
        <v>2.8115992266671176E-4</v>
      </c>
      <c r="P3" s="16">
        <f>-LOG10(O3)</f>
        <v>3.5510465848084816</v>
      </c>
    </row>
    <row r="4" spans="1:16">
      <c r="A4" s="1" t="s">
        <v>3</v>
      </c>
      <c r="B4">
        <v>96485.339900000006</v>
      </c>
      <c r="C4" t="s">
        <v>5</v>
      </c>
      <c r="D4">
        <v>2</v>
      </c>
      <c r="E4" s="27">
        <v>3.49</v>
      </c>
      <c r="F4" s="28">
        <v>18.8</v>
      </c>
      <c r="G4" s="29">
        <f t="shared" si="0"/>
        <v>291.95</v>
      </c>
      <c r="H4" s="30">
        <v>191.5</v>
      </c>
      <c r="I4" s="31">
        <f t="shared" si="1"/>
        <v>0.1915</v>
      </c>
      <c r="J4" s="32">
        <v>259.10000000000002</v>
      </c>
      <c r="K4" s="33">
        <f t="shared" si="2"/>
        <v>2.8999999999999773</v>
      </c>
      <c r="L4" s="34">
        <f t="shared" si="3"/>
        <v>2.8999999999999772E-3</v>
      </c>
      <c r="M4" s="16">
        <f t="shared" si="4"/>
        <v>256.33511893498331</v>
      </c>
      <c r="N4" s="16">
        <f t="shared" ref="N4:N18" si="5">I4-((8.314472*G4)/96485.3399)*LN(((-0.12677*0.002)+(L4*0.1))/(0.12677+L4))</f>
        <v>0.39720790383443433</v>
      </c>
      <c r="O4" s="16">
        <f t="shared" ref="O4:O18" si="6">2.7183^((I4-N4)/((8.314472*G4)/96485.3399))</f>
        <v>2.8115992266671127E-4</v>
      </c>
      <c r="P4" s="16">
        <f t="shared" ref="P4:P18" si="7">-LOG10(O4)</f>
        <v>3.5510465848084825</v>
      </c>
    </row>
    <row r="5" spans="1:16">
      <c r="A5" s="1" t="s">
        <v>12</v>
      </c>
      <c r="B5">
        <v>2.7183000000000002</v>
      </c>
      <c r="D5">
        <v>3</v>
      </c>
      <c r="E5" s="27">
        <v>3.43</v>
      </c>
      <c r="F5" s="28">
        <v>18.8</v>
      </c>
      <c r="G5" s="29">
        <f t="shared" si="0"/>
        <v>291.95</v>
      </c>
      <c r="H5" s="30">
        <v>194.8</v>
      </c>
      <c r="I5" s="31">
        <f t="shared" si="1"/>
        <v>0.1948</v>
      </c>
      <c r="J5" s="32">
        <v>259</v>
      </c>
      <c r="K5" s="33">
        <f t="shared" si="2"/>
        <v>3</v>
      </c>
      <c r="L5" s="34">
        <f t="shared" si="3"/>
        <v>3.0000000000000001E-3</v>
      </c>
      <c r="M5" s="16">
        <f t="shared" si="4"/>
        <v>292.26373213240885</v>
      </c>
      <c r="N5" s="16">
        <f t="shared" si="5"/>
        <v>0.39442952363369993</v>
      </c>
      <c r="O5" s="16">
        <f t="shared" si="6"/>
        <v>3.5799904158827808E-4</v>
      </c>
      <c r="P5" s="16">
        <f t="shared" si="7"/>
        <v>3.4461181360194759</v>
      </c>
    </row>
    <row r="6" spans="1:16">
      <c r="D6">
        <v>4</v>
      </c>
      <c r="E6" s="27">
        <v>3.36</v>
      </c>
      <c r="F6" s="28">
        <v>18.8</v>
      </c>
      <c r="G6" s="29">
        <f t="shared" si="0"/>
        <v>291.95</v>
      </c>
      <c r="H6" s="30">
        <v>198.6</v>
      </c>
      <c r="I6" s="31">
        <f t="shared" si="1"/>
        <v>0.1986</v>
      </c>
      <c r="J6" s="32">
        <v>258.89999999999998</v>
      </c>
      <c r="K6" s="33">
        <f t="shared" si="2"/>
        <v>3.1000000000000227</v>
      </c>
      <c r="L6" s="34">
        <f t="shared" si="3"/>
        <v>3.1000000000000229E-3</v>
      </c>
      <c r="M6" s="16">
        <f t="shared" si="4"/>
        <v>339.91710951374665</v>
      </c>
      <c r="N6" s="16">
        <f t="shared" si="5"/>
        <v>0.39334452052276064</v>
      </c>
      <c r="O6" s="16">
        <f t="shared" si="6"/>
        <v>4.3471993901488952E-4</v>
      </c>
      <c r="P6" s="16">
        <f t="shared" si="7"/>
        <v>3.361790439851605</v>
      </c>
    </row>
    <row r="7" spans="1:16">
      <c r="D7">
        <v>5</v>
      </c>
      <c r="E7" s="27">
        <v>3.29</v>
      </c>
      <c r="F7" s="28">
        <v>18.8</v>
      </c>
      <c r="G7" s="29">
        <f t="shared" si="0"/>
        <v>291.95</v>
      </c>
      <c r="H7" s="30">
        <v>202.5</v>
      </c>
      <c r="I7" s="31">
        <f t="shared" si="1"/>
        <v>0.20250000000000001</v>
      </c>
      <c r="J7" s="32">
        <v>258.8</v>
      </c>
      <c r="K7" s="33">
        <f t="shared" si="2"/>
        <v>3.1999999999999886</v>
      </c>
      <c r="L7" s="34">
        <f t="shared" si="3"/>
        <v>3.1999999999999884E-3</v>
      </c>
      <c r="M7" s="16">
        <f t="shared" si="4"/>
        <v>396.91488049228843</v>
      </c>
      <c r="N7" s="16">
        <f t="shared" si="5"/>
        <v>0.3931613703352651</v>
      </c>
      <c r="O7" s="16">
        <f t="shared" si="6"/>
        <v>5.1132286783363561E-4</v>
      </c>
      <c r="P7" s="16">
        <f t="shared" si="7"/>
        <v>3.2913047839371088</v>
      </c>
    </row>
    <row r="8" spans="1:16">
      <c r="D8">
        <v>6</v>
      </c>
      <c r="E8" s="27">
        <v>3.2</v>
      </c>
      <c r="F8" s="28">
        <v>18.899999999999999</v>
      </c>
      <c r="G8" s="29">
        <f t="shared" si="0"/>
        <v>292.04999999999995</v>
      </c>
      <c r="H8" s="30">
        <v>207.4</v>
      </c>
      <c r="I8" s="31">
        <f t="shared" si="1"/>
        <v>0.2074</v>
      </c>
      <c r="J8" s="32">
        <v>258.60000000000002</v>
      </c>
      <c r="K8" s="33">
        <f t="shared" si="2"/>
        <v>3.3999999999999773</v>
      </c>
      <c r="L8" s="34">
        <f t="shared" si="3"/>
        <v>3.3999999999999773E-3</v>
      </c>
      <c r="M8" s="16">
        <f t="shared" si="4"/>
        <v>480.90439030483157</v>
      </c>
      <c r="N8" s="16">
        <f t="shared" si="5"/>
        <v>0.39154441265996975</v>
      </c>
      <c r="O8" s="16">
        <f t="shared" si="6"/>
        <v>6.6417585534430377E-4</v>
      </c>
      <c r="P8" s="16">
        <f t="shared" si="7"/>
        <v>3.177716916273511</v>
      </c>
    </row>
    <row r="9" spans="1:16">
      <c r="D9">
        <v>7</v>
      </c>
      <c r="E9" s="27">
        <v>3.13</v>
      </c>
      <c r="F9" s="28">
        <v>18.899999999999999</v>
      </c>
      <c r="G9" s="29">
        <f t="shared" si="0"/>
        <v>292.04999999999995</v>
      </c>
      <c r="H9" s="30">
        <v>211.3</v>
      </c>
      <c r="I9" s="31">
        <f t="shared" si="1"/>
        <v>0.21130000000000002</v>
      </c>
      <c r="J9" s="32">
        <v>258.39999999999998</v>
      </c>
      <c r="K9" s="33">
        <f t="shared" si="2"/>
        <v>3.6000000000000227</v>
      </c>
      <c r="L9" s="34">
        <f t="shared" si="3"/>
        <v>3.6000000000000229E-3</v>
      </c>
      <c r="M9" s="16">
        <f t="shared" si="4"/>
        <v>561.51374066685423</v>
      </c>
      <c r="N9" s="16">
        <f t="shared" si="5"/>
        <v>0.39024612477134391</v>
      </c>
      <c r="O9" s="16">
        <f t="shared" si="6"/>
        <v>8.165600970032658E-4</v>
      </c>
      <c r="P9" s="16">
        <f t="shared" si="7"/>
        <v>3.0880118466450961</v>
      </c>
    </row>
    <row r="10" spans="1:16">
      <c r="D10">
        <v>8</v>
      </c>
      <c r="E10" s="27">
        <v>3.07</v>
      </c>
      <c r="F10" s="28">
        <v>18.899999999999999</v>
      </c>
      <c r="G10" s="29">
        <f t="shared" si="0"/>
        <v>292.04999999999995</v>
      </c>
      <c r="H10" s="30">
        <v>214.5</v>
      </c>
      <c r="I10" s="31">
        <f t="shared" si="1"/>
        <v>0.2145</v>
      </c>
      <c r="J10" s="32">
        <v>258.3</v>
      </c>
      <c r="K10" s="33">
        <f t="shared" si="2"/>
        <v>3.6999999999999886</v>
      </c>
      <c r="L10" s="34">
        <f t="shared" si="3"/>
        <v>3.6999999999999885E-3</v>
      </c>
      <c r="M10" s="16">
        <f t="shared" si="4"/>
        <v>637.64951298419601</v>
      </c>
      <c r="N10" s="16">
        <f t="shared" si="5"/>
        <v>0.39120596979094935</v>
      </c>
      <c r="O10" s="16">
        <f t="shared" si="6"/>
        <v>8.9257709688529902E-4</v>
      </c>
      <c r="P10" s="16">
        <f t="shared" si="7"/>
        <v>3.0493542611476805</v>
      </c>
    </row>
    <row r="11" spans="1:16">
      <c r="D11">
        <v>9</v>
      </c>
      <c r="E11" s="27">
        <v>3.03</v>
      </c>
      <c r="F11" s="28">
        <v>19</v>
      </c>
      <c r="G11" s="29">
        <f t="shared" si="0"/>
        <v>292.14999999999998</v>
      </c>
      <c r="H11" s="30">
        <v>217.2</v>
      </c>
      <c r="I11" s="31">
        <f t="shared" si="1"/>
        <v>0.21719999999999998</v>
      </c>
      <c r="J11" s="32">
        <v>258</v>
      </c>
      <c r="K11" s="33">
        <f t="shared" si="2"/>
        <v>4</v>
      </c>
      <c r="L11" s="34">
        <f t="shared" si="3"/>
        <v>4.0000000000000001E-3</v>
      </c>
      <c r="M11" s="16">
        <f t="shared" si="4"/>
        <v>707.77151603069819</v>
      </c>
      <c r="N11" s="16">
        <f t="shared" si="5"/>
        <v>0.38825394431093785</v>
      </c>
      <c r="O11" s="16">
        <f t="shared" si="6"/>
        <v>1.1199307784566692E-3</v>
      </c>
      <c r="P11" s="16">
        <f t="shared" si="7"/>
        <v>2.9508088197078028</v>
      </c>
    </row>
    <row r="12" spans="1:16">
      <c r="D12">
        <v>10</v>
      </c>
      <c r="E12" s="27">
        <v>2.98</v>
      </c>
      <c r="F12" s="28">
        <v>19</v>
      </c>
      <c r="G12" s="29">
        <f t="shared" si="0"/>
        <v>292.14999999999998</v>
      </c>
      <c r="H12" s="30">
        <v>219.7</v>
      </c>
      <c r="I12" s="31">
        <f t="shared" si="1"/>
        <v>0.21969999999999998</v>
      </c>
      <c r="J12" s="32">
        <v>257.89999999999998</v>
      </c>
      <c r="K12" s="33">
        <f t="shared" si="2"/>
        <v>4.1000000000000227</v>
      </c>
      <c r="L12" s="34">
        <f t="shared" si="3"/>
        <v>4.1000000000000229E-3</v>
      </c>
      <c r="M12" s="16">
        <f t="shared" si="4"/>
        <v>781.66433720436271</v>
      </c>
      <c r="N12" s="16">
        <f t="shared" si="5"/>
        <v>0.38911039217182242</v>
      </c>
      <c r="O12" s="16">
        <f t="shared" si="6"/>
        <v>1.1954837776793359E-3</v>
      </c>
      <c r="P12" s="16">
        <f t="shared" si="7"/>
        <v>2.9224563127411374</v>
      </c>
    </row>
    <row r="13" spans="1:16">
      <c r="D13">
        <v>11</v>
      </c>
      <c r="E13" s="27"/>
      <c r="F13" s="28"/>
      <c r="G13" s="29">
        <f t="shared" si="0"/>
        <v>273.14999999999998</v>
      </c>
      <c r="H13" s="30"/>
      <c r="I13" s="31">
        <f t="shared" si="1"/>
        <v>0</v>
      </c>
      <c r="J13" s="32"/>
      <c r="K13" s="33">
        <f t="shared" si="2"/>
        <v>262</v>
      </c>
      <c r="L13" s="34">
        <f t="shared" si="3"/>
        <v>0.26200000000000001</v>
      </c>
      <c r="M13" s="16">
        <f t="shared" si="4"/>
        <v>0.12703200000000001</v>
      </c>
      <c r="N13" s="16">
        <f t="shared" si="5"/>
        <v>6.3716985386034236E-2</v>
      </c>
      <c r="O13" s="16">
        <f t="shared" si="6"/>
        <v>6.6738664206844364E-2</v>
      </c>
      <c r="P13" s="16">
        <f t="shared" si="7"/>
        <v>1.1756224901205747</v>
      </c>
    </row>
    <row r="14" spans="1:16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262</v>
      </c>
      <c r="L14" s="15">
        <f t="shared" si="3"/>
        <v>0.26200000000000001</v>
      </c>
      <c r="M14">
        <f t="shared" si="4"/>
        <v>0.12703200000000001</v>
      </c>
      <c r="N14">
        <f t="shared" si="5"/>
        <v>6.3716985386034236E-2</v>
      </c>
      <c r="O14">
        <f t="shared" si="6"/>
        <v>6.6738664206844364E-2</v>
      </c>
      <c r="P14">
        <f t="shared" si="7"/>
        <v>1.1756224901205747</v>
      </c>
    </row>
    <row r="15" spans="1:16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262</v>
      </c>
      <c r="L15" s="15">
        <f t="shared" si="3"/>
        <v>0.26200000000000001</v>
      </c>
      <c r="M15">
        <f t="shared" si="4"/>
        <v>0.12703200000000001</v>
      </c>
      <c r="N15">
        <f t="shared" si="5"/>
        <v>6.3716985386034236E-2</v>
      </c>
      <c r="O15">
        <f t="shared" si="6"/>
        <v>6.6738664206844364E-2</v>
      </c>
      <c r="P15">
        <f t="shared" si="7"/>
        <v>1.1756224901205747</v>
      </c>
    </row>
    <row r="16" spans="1:16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262</v>
      </c>
      <c r="L16" s="15">
        <f t="shared" si="3"/>
        <v>0.26200000000000001</v>
      </c>
      <c r="M16">
        <f t="shared" si="4"/>
        <v>0.12703200000000001</v>
      </c>
      <c r="N16">
        <f t="shared" si="5"/>
        <v>6.3716985386034236E-2</v>
      </c>
      <c r="O16">
        <f t="shared" si="6"/>
        <v>6.6738664206844364E-2</v>
      </c>
      <c r="P16">
        <f t="shared" si="7"/>
        <v>1.1756224901205747</v>
      </c>
    </row>
    <row r="17" spans="1:16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262</v>
      </c>
      <c r="L17" s="15">
        <f t="shared" si="3"/>
        <v>0.26200000000000001</v>
      </c>
      <c r="M17">
        <f t="shared" si="4"/>
        <v>0.12703200000000001</v>
      </c>
      <c r="N17">
        <f t="shared" si="5"/>
        <v>6.3716985386034236E-2</v>
      </c>
      <c r="O17">
        <f t="shared" si="6"/>
        <v>6.6738664206844364E-2</v>
      </c>
      <c r="P17">
        <f t="shared" si="7"/>
        <v>1.1756224901205747</v>
      </c>
    </row>
    <row r="18" spans="1:16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262</v>
      </c>
      <c r="L18" s="15">
        <f t="shared" si="3"/>
        <v>0.26200000000000001</v>
      </c>
      <c r="M18">
        <f t="shared" si="4"/>
        <v>0.12703200000000001</v>
      </c>
      <c r="N18">
        <f t="shared" si="5"/>
        <v>6.3716985386034236E-2</v>
      </c>
      <c r="O18">
        <f t="shared" si="6"/>
        <v>6.6738664206844364E-2</v>
      </c>
      <c r="P18">
        <f t="shared" si="7"/>
        <v>1.1756224901205747</v>
      </c>
    </row>
    <row r="22" spans="1:16">
      <c r="I22" s="3"/>
      <c r="M22" t="s">
        <v>31</v>
      </c>
    </row>
    <row r="23" spans="1:16">
      <c r="M23" s="4" t="s">
        <v>18</v>
      </c>
    </row>
    <row r="24" spans="1:16">
      <c r="A24" t="s">
        <v>27</v>
      </c>
      <c r="M24" s="6" t="s">
        <v>19</v>
      </c>
    </row>
    <row r="25" spans="1:16">
      <c r="A25" s="16" t="s">
        <v>26</v>
      </c>
      <c r="B25">
        <f>SLOPE(M4:M11,L4:L11)</f>
        <v>431486.60163313692</v>
      </c>
      <c r="F25" s="16" t="s">
        <v>38</v>
      </c>
      <c r="M25" s="8" t="s">
        <v>36</v>
      </c>
    </row>
    <row r="26" spans="1:16">
      <c r="A26" s="16" t="s">
        <v>28</v>
      </c>
      <c r="B26">
        <f>INTERCEPT(M4:M11,L4:L11)</f>
        <v>-991.7149478589206</v>
      </c>
      <c r="M26" s="9" t="s">
        <v>20</v>
      </c>
    </row>
    <row r="27" spans="1:16" ht="16">
      <c r="A27" s="16" t="s">
        <v>32</v>
      </c>
      <c r="B27">
        <f>-B26/B25</f>
        <v>2.2983678846698161E-3</v>
      </c>
      <c r="M27" s="11" t="s">
        <v>37</v>
      </c>
      <c r="N27" s="11"/>
    </row>
    <row r="28" spans="1:16">
      <c r="A28" s="16" t="s">
        <v>29</v>
      </c>
      <c r="B28">
        <f>((B27*B2)/B1)*1000000</f>
        <v>1933.0259753320572</v>
      </c>
      <c r="M28" s="12" t="s">
        <v>21</v>
      </c>
    </row>
    <row r="29" spans="1:16">
      <c r="M29" s="14" t="s">
        <v>35</v>
      </c>
    </row>
    <row r="30" spans="1:16">
      <c r="M30" s="15" t="s">
        <v>22</v>
      </c>
    </row>
    <row r="31" spans="1:16">
      <c r="M31" t="s">
        <v>23</v>
      </c>
    </row>
    <row r="32" spans="1:16">
      <c r="M32" s="16" t="s">
        <v>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27" sqref="B27"/>
    </sheetView>
  </sheetViews>
  <sheetFormatPr baseColWidth="10" defaultRowHeight="15" x14ac:dyDescent="0"/>
  <sheetData>
    <row r="1" spans="1:15" ht="30">
      <c r="A1" s="1" t="s">
        <v>0</v>
      </c>
      <c r="B1">
        <v>0.12130000000000001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</row>
    <row r="2" spans="1:15">
      <c r="A2" s="1" t="s">
        <v>1</v>
      </c>
      <c r="B2">
        <v>0.1</v>
      </c>
      <c r="C2" t="s">
        <v>6</v>
      </c>
      <c r="D2">
        <v>0</v>
      </c>
      <c r="E2" s="4">
        <v>7.84</v>
      </c>
      <c r="F2" s="6">
        <v>18.7</v>
      </c>
      <c r="G2" s="8">
        <f>F2+273.15</f>
        <v>291.84999999999997</v>
      </c>
      <c r="H2" s="9">
        <v>-49.9</v>
      </c>
      <c r="I2" s="11">
        <f>H2/1000</f>
        <v>-4.99E-2</v>
      </c>
      <c r="J2" s="12">
        <v>257.89999999999998</v>
      </c>
      <c r="K2" s="14">
        <f>$J$2-J2</f>
        <v>0</v>
      </c>
      <c r="L2" s="15">
        <f>K2/1000</f>
        <v>0</v>
      </c>
      <c r="M2">
        <f>(0.12677+(L2/1000))*(2.7183^(I2/((8.314472*G2)/96485.3399)))</f>
        <v>1.7430876160474833E-2</v>
      </c>
      <c r="N2" t="e">
        <f>I2-((8.314472*G2)/96485.3399)*LN(((-0.12677*0.002)+(L2*0.1))/(0.12677+L2))</f>
        <v>#NUM!</v>
      </c>
    </row>
    <row r="3" spans="1:15">
      <c r="A3" s="1" t="s">
        <v>2</v>
      </c>
      <c r="B3">
        <v>8.3144720000000003</v>
      </c>
      <c r="C3" t="s">
        <v>4</v>
      </c>
      <c r="D3">
        <v>1</v>
      </c>
      <c r="E3" s="27">
        <v>3.37</v>
      </c>
      <c r="F3" s="28">
        <v>19</v>
      </c>
      <c r="G3" s="29">
        <f t="shared" ref="G3:G18" si="0">F3+273.15</f>
        <v>292.14999999999998</v>
      </c>
      <c r="H3" s="30">
        <v>198.1</v>
      </c>
      <c r="I3" s="31">
        <f t="shared" ref="I3:I18" si="1">H3/1000</f>
        <v>0.1981</v>
      </c>
      <c r="J3" s="32">
        <v>254.8</v>
      </c>
      <c r="K3" s="33">
        <f t="shared" ref="K3:K18" si="2">$J$2-J3</f>
        <v>3.0999999999999659</v>
      </c>
      <c r="L3" s="34">
        <f t="shared" ref="L3:L18" si="3">K3/1000</f>
        <v>3.0999999999999661E-3</v>
      </c>
      <c r="M3" s="16">
        <f t="shared" ref="M3:M18" si="4">(0.12677+(L3/1000))*(2.7183^(I3/((8.314472*G3)/96485.3399)))</f>
        <v>331.43675907998249</v>
      </c>
      <c r="N3" s="16">
        <f>I3-((8.314472*G3)/96485.3399)*LN(((-0.12677*0.002)+(L3*0.1))/(0.12677+L3))</f>
        <v>0.39297793002474823</v>
      </c>
      <c r="O3" s="16">
        <f>2.7183^((I3-N3)/((8.314472*G3)/96485.3399))</f>
        <v>4.3471993901484697E-4</v>
      </c>
    </row>
    <row r="4" spans="1:15">
      <c r="A4" s="1" t="s">
        <v>3</v>
      </c>
      <c r="B4">
        <v>96485.339900000006</v>
      </c>
      <c r="C4" t="s">
        <v>5</v>
      </c>
      <c r="D4">
        <v>2</v>
      </c>
      <c r="E4" s="27">
        <v>3.33</v>
      </c>
      <c r="F4" s="28">
        <v>19</v>
      </c>
      <c r="G4" s="29">
        <f t="shared" si="0"/>
        <v>292.14999999999998</v>
      </c>
      <c r="H4" s="30">
        <v>200.4</v>
      </c>
      <c r="I4" s="31">
        <f t="shared" si="1"/>
        <v>0.20039999999999999</v>
      </c>
      <c r="J4" s="32">
        <v>254.7</v>
      </c>
      <c r="K4" s="33">
        <f t="shared" si="2"/>
        <v>3.1999999999999886</v>
      </c>
      <c r="L4" s="34">
        <f t="shared" si="3"/>
        <v>3.1999999999999884E-3</v>
      </c>
      <c r="M4" s="16">
        <f t="shared" si="4"/>
        <v>363.14305351157481</v>
      </c>
      <c r="N4" s="16">
        <f t="shared" ref="N4:N18" si="5">I4-((8.314472*G4)/96485.3399)*LN(((-0.12677*0.002)+(L4*0.1))/(0.12677+L4))</f>
        <v>0.39119198268007427</v>
      </c>
      <c r="O4" s="16">
        <f t="shared" ref="O4:O18" si="6">2.7183^((I4-N4)/((8.314472*G4)/96485.3399))</f>
        <v>5.1132286783363659E-4</v>
      </c>
    </row>
    <row r="5" spans="1:15">
      <c r="A5" s="1" t="s">
        <v>12</v>
      </c>
      <c r="B5">
        <v>2.7183000000000002</v>
      </c>
      <c r="D5">
        <v>3</v>
      </c>
      <c r="E5" s="27">
        <v>3.29</v>
      </c>
      <c r="F5" s="28">
        <v>19</v>
      </c>
      <c r="G5" s="29">
        <f t="shared" si="0"/>
        <v>292.14999999999998</v>
      </c>
      <c r="H5" s="30">
        <v>202.6</v>
      </c>
      <c r="I5" s="31">
        <f t="shared" si="1"/>
        <v>0.2026</v>
      </c>
      <c r="J5" s="32">
        <v>254.6</v>
      </c>
      <c r="K5" s="33">
        <f t="shared" si="2"/>
        <v>3.2999999999999829</v>
      </c>
      <c r="L5" s="34">
        <f t="shared" si="3"/>
        <v>3.2999999999999831E-3</v>
      </c>
      <c r="M5" s="16">
        <f t="shared" si="4"/>
        <v>396.30516592319515</v>
      </c>
      <c r="N5" s="16">
        <f t="shared" si="5"/>
        <v>0.38988255031654689</v>
      </c>
      <c r="O5" s="16">
        <f t="shared" si="6"/>
        <v>5.8780808625066426E-4</v>
      </c>
    </row>
    <row r="6" spans="1:15">
      <c r="D6">
        <v>4</v>
      </c>
      <c r="E6" s="27">
        <v>3.25</v>
      </c>
      <c r="F6" s="28">
        <v>19.100000000000001</v>
      </c>
      <c r="G6" s="29">
        <f t="shared" si="0"/>
        <v>292.25</v>
      </c>
      <c r="H6" s="30">
        <v>204.8</v>
      </c>
      <c r="I6" s="31">
        <f t="shared" si="1"/>
        <v>0.20480000000000001</v>
      </c>
      <c r="J6" s="32">
        <v>254.6</v>
      </c>
      <c r="K6" s="33">
        <f t="shared" si="2"/>
        <v>3.2999999999999829</v>
      </c>
      <c r="L6" s="34">
        <f t="shared" si="3"/>
        <v>3.2999999999999831E-3</v>
      </c>
      <c r="M6" s="16">
        <f t="shared" si="4"/>
        <v>431.29309261849812</v>
      </c>
      <c r="N6" s="16">
        <f t="shared" si="5"/>
        <v>0.39214665524563008</v>
      </c>
      <c r="O6" s="16">
        <f t="shared" si="6"/>
        <v>5.8780808625066535E-4</v>
      </c>
    </row>
    <row r="7" spans="1:15">
      <c r="D7">
        <v>5</v>
      </c>
      <c r="E7" s="27">
        <v>3.2</v>
      </c>
      <c r="F7" s="28">
        <v>19.100000000000001</v>
      </c>
      <c r="G7" s="29">
        <f t="shared" si="0"/>
        <v>292.25</v>
      </c>
      <c r="H7" s="30">
        <v>207.6</v>
      </c>
      <c r="I7" s="31">
        <f t="shared" si="1"/>
        <v>0.20760000000000001</v>
      </c>
      <c r="J7" s="32">
        <v>254.4</v>
      </c>
      <c r="K7" s="33">
        <f t="shared" si="2"/>
        <v>3.4999999999999716</v>
      </c>
      <c r="L7" s="34">
        <f t="shared" si="3"/>
        <v>3.4999999999999714E-3</v>
      </c>
      <c r="M7" s="16">
        <f t="shared" si="4"/>
        <v>482.01300960534712</v>
      </c>
      <c r="N7" s="16">
        <f t="shared" si="5"/>
        <v>0.38913353553786623</v>
      </c>
      <c r="O7" s="16">
        <f t="shared" si="6"/>
        <v>7.404264377688744E-4</v>
      </c>
    </row>
    <row r="8" spans="1:15">
      <c r="D8">
        <v>6</v>
      </c>
      <c r="E8" s="27">
        <v>3.14</v>
      </c>
      <c r="F8" s="28">
        <v>19.100000000000001</v>
      </c>
      <c r="G8" s="29">
        <f t="shared" si="0"/>
        <v>292.25</v>
      </c>
      <c r="H8" s="30">
        <v>210.8</v>
      </c>
      <c r="I8" s="31">
        <f t="shared" si="1"/>
        <v>0.21080000000000002</v>
      </c>
      <c r="J8" s="32">
        <v>254.3</v>
      </c>
      <c r="K8" s="33">
        <f t="shared" si="2"/>
        <v>3.5999999999999659</v>
      </c>
      <c r="L8" s="34">
        <f t="shared" si="3"/>
        <v>3.5999999999999661E-3</v>
      </c>
      <c r="M8" s="16">
        <f t="shared" si="4"/>
        <v>547.32163254356055</v>
      </c>
      <c r="N8" s="16">
        <f t="shared" si="5"/>
        <v>0.38986866962652167</v>
      </c>
      <c r="O8" s="16">
        <f t="shared" si="6"/>
        <v>8.1656009700322308E-4</v>
      </c>
    </row>
    <row r="9" spans="1:15">
      <c r="D9">
        <v>7</v>
      </c>
      <c r="E9" s="27">
        <v>3.09</v>
      </c>
      <c r="F9" s="28">
        <v>19.100000000000001</v>
      </c>
      <c r="G9" s="29">
        <f t="shared" si="0"/>
        <v>292.25</v>
      </c>
      <c r="H9" s="30">
        <v>231.6</v>
      </c>
      <c r="I9" s="31">
        <f t="shared" si="1"/>
        <v>0.2316</v>
      </c>
      <c r="J9" s="32">
        <v>254.2</v>
      </c>
      <c r="K9" s="33">
        <f t="shared" si="2"/>
        <v>3.6999999999999886</v>
      </c>
      <c r="L9" s="34">
        <f t="shared" si="3"/>
        <v>3.6999999999999885E-3</v>
      </c>
      <c r="M9" s="16">
        <f t="shared" si="4"/>
        <v>1250.074160112644</v>
      </c>
      <c r="N9" s="16">
        <f t="shared" si="5"/>
        <v>0.40842698055608617</v>
      </c>
      <c r="O9" s="16">
        <f t="shared" si="6"/>
        <v>8.9257709688529739E-4</v>
      </c>
    </row>
    <row r="10" spans="1:15">
      <c r="D10">
        <v>8</v>
      </c>
      <c r="E10" s="27">
        <v>3.06</v>
      </c>
      <c r="F10" s="28">
        <v>19.2</v>
      </c>
      <c r="G10" s="29">
        <f t="shared" si="0"/>
        <v>292.34999999999997</v>
      </c>
      <c r="H10" s="30">
        <v>215.7</v>
      </c>
      <c r="I10" s="31">
        <f t="shared" si="1"/>
        <v>0.21569999999999998</v>
      </c>
      <c r="J10" s="32">
        <v>254</v>
      </c>
      <c r="K10" s="33">
        <f t="shared" si="2"/>
        <v>3.8999999999999773</v>
      </c>
      <c r="L10" s="34">
        <f t="shared" si="3"/>
        <v>3.8999999999999773E-3</v>
      </c>
      <c r="M10" s="16">
        <f t="shared" si="4"/>
        <v>662.93514481171962</v>
      </c>
      <c r="N10" s="16">
        <f t="shared" si="5"/>
        <v>0.38863342759769709</v>
      </c>
      <c r="O10" s="16">
        <f t="shared" si="6"/>
        <v>1.0442621740162472E-3</v>
      </c>
    </row>
    <row r="11" spans="1:15">
      <c r="D11">
        <v>9</v>
      </c>
      <c r="E11" s="27">
        <v>3.02</v>
      </c>
      <c r="F11" s="28">
        <v>19.2</v>
      </c>
      <c r="G11" s="29">
        <f t="shared" si="0"/>
        <v>292.34999999999997</v>
      </c>
      <c r="H11" s="30">
        <v>218</v>
      </c>
      <c r="I11" s="31">
        <f t="shared" si="1"/>
        <v>0.218</v>
      </c>
      <c r="J11" s="32">
        <v>253.9</v>
      </c>
      <c r="K11" s="33">
        <f t="shared" si="2"/>
        <v>3.9999999999999716</v>
      </c>
      <c r="L11" s="34">
        <f t="shared" si="3"/>
        <v>3.9999999999999715E-3</v>
      </c>
      <c r="M11" s="16">
        <f t="shared" si="4"/>
        <v>726.30823355843268</v>
      </c>
      <c r="N11" s="16">
        <f t="shared" si="5"/>
        <v>0.38917104439261618</v>
      </c>
      <c r="O11" s="16">
        <f t="shared" si="6"/>
        <v>1.1199307784566482E-3</v>
      </c>
    </row>
    <row r="12" spans="1:15">
      <c r="D12">
        <v>10</v>
      </c>
      <c r="E12" s="27"/>
      <c r="F12" s="28"/>
      <c r="G12" s="29">
        <f t="shared" si="0"/>
        <v>273.14999999999998</v>
      </c>
      <c r="H12" s="30"/>
      <c r="I12" s="31">
        <f t="shared" si="1"/>
        <v>0</v>
      </c>
      <c r="J12" s="32"/>
      <c r="K12" s="33">
        <f t="shared" si="2"/>
        <v>257.89999999999998</v>
      </c>
      <c r="L12" s="34">
        <f t="shared" si="3"/>
        <v>0.25789999999999996</v>
      </c>
      <c r="M12" s="16">
        <f t="shared" si="4"/>
        <v>0.1270279</v>
      </c>
      <c r="N12" s="16">
        <f t="shared" si="5"/>
        <v>6.3842347013108716E-2</v>
      </c>
      <c r="O12" s="16">
        <f t="shared" si="6"/>
        <v>6.638416563217045E-2</v>
      </c>
    </row>
    <row r="13" spans="1:15">
      <c r="D13">
        <v>11</v>
      </c>
      <c r="E13" s="27"/>
      <c r="F13" s="28"/>
      <c r="G13" s="29">
        <f t="shared" si="0"/>
        <v>273.14999999999998</v>
      </c>
      <c r="H13" s="30"/>
      <c r="I13" s="31">
        <f t="shared" si="1"/>
        <v>0</v>
      </c>
      <c r="J13" s="32"/>
      <c r="K13" s="33">
        <f t="shared" si="2"/>
        <v>257.89999999999998</v>
      </c>
      <c r="L13" s="34">
        <f t="shared" si="3"/>
        <v>0.25789999999999996</v>
      </c>
      <c r="M13" s="16">
        <f t="shared" si="4"/>
        <v>0.1270279</v>
      </c>
      <c r="N13" s="16">
        <f t="shared" si="5"/>
        <v>6.3842347013108716E-2</v>
      </c>
      <c r="O13" s="16">
        <f t="shared" si="6"/>
        <v>6.638416563217045E-2</v>
      </c>
    </row>
    <row r="14" spans="1:15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257.89999999999998</v>
      </c>
      <c r="L14" s="15">
        <f t="shared" si="3"/>
        <v>0.25789999999999996</v>
      </c>
      <c r="M14">
        <f t="shared" si="4"/>
        <v>0.1270279</v>
      </c>
      <c r="N14">
        <f t="shared" si="5"/>
        <v>6.3842347013108716E-2</v>
      </c>
      <c r="O14">
        <f t="shared" si="6"/>
        <v>6.638416563217045E-2</v>
      </c>
    </row>
    <row r="15" spans="1:15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257.89999999999998</v>
      </c>
      <c r="L15" s="15">
        <f t="shared" si="3"/>
        <v>0.25789999999999996</v>
      </c>
      <c r="M15">
        <f t="shared" si="4"/>
        <v>0.1270279</v>
      </c>
      <c r="N15">
        <f t="shared" si="5"/>
        <v>6.3842347013108716E-2</v>
      </c>
      <c r="O15">
        <f t="shared" si="6"/>
        <v>6.638416563217045E-2</v>
      </c>
    </row>
    <row r="16" spans="1:15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257.89999999999998</v>
      </c>
      <c r="L16" s="15">
        <f t="shared" si="3"/>
        <v>0.25789999999999996</v>
      </c>
      <c r="M16">
        <f t="shared" si="4"/>
        <v>0.1270279</v>
      </c>
      <c r="N16">
        <f t="shared" si="5"/>
        <v>6.3842347013108716E-2</v>
      </c>
      <c r="O16">
        <f t="shared" si="6"/>
        <v>6.638416563217045E-2</v>
      </c>
    </row>
    <row r="17" spans="1:15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257.89999999999998</v>
      </c>
      <c r="L17" s="15">
        <f t="shared" si="3"/>
        <v>0.25789999999999996</v>
      </c>
      <c r="M17">
        <f t="shared" si="4"/>
        <v>0.1270279</v>
      </c>
      <c r="N17">
        <f t="shared" si="5"/>
        <v>6.3842347013108716E-2</v>
      </c>
      <c r="O17">
        <f t="shared" si="6"/>
        <v>6.638416563217045E-2</v>
      </c>
    </row>
    <row r="18" spans="1:15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257.89999999999998</v>
      </c>
      <c r="L18" s="15">
        <f t="shared" si="3"/>
        <v>0.25789999999999996</v>
      </c>
      <c r="M18">
        <f t="shared" si="4"/>
        <v>0.1270279</v>
      </c>
      <c r="N18">
        <f t="shared" si="5"/>
        <v>6.3842347013108716E-2</v>
      </c>
      <c r="O18">
        <f t="shared" si="6"/>
        <v>6.638416563217045E-2</v>
      </c>
    </row>
    <row r="22" spans="1:15">
      <c r="I22" s="3"/>
      <c r="M22" t="s">
        <v>31</v>
      </c>
    </row>
    <row r="23" spans="1:15">
      <c r="M23" s="4" t="s">
        <v>18</v>
      </c>
    </row>
    <row r="24" spans="1:15">
      <c r="A24" t="s">
        <v>27</v>
      </c>
      <c r="M24" s="6" t="s">
        <v>19</v>
      </c>
    </row>
    <row r="25" spans="1:15">
      <c r="A25" s="16" t="s">
        <v>26</v>
      </c>
      <c r="B25">
        <f>SLOPE(M3:M11,L3:L11)</f>
        <v>593698.31860654289</v>
      </c>
      <c r="M25" s="8" t="s">
        <v>36</v>
      </c>
    </row>
    <row r="26" spans="1:15">
      <c r="A26" s="16" t="s">
        <v>28</v>
      </c>
      <c r="B26">
        <f>INTERCEPT(M3:M11,L3:L11)</f>
        <v>-1507.781846244631</v>
      </c>
      <c r="M26" s="9" t="s">
        <v>20</v>
      </c>
    </row>
    <row r="27" spans="1:15" ht="16">
      <c r="A27" s="16" t="s">
        <v>32</v>
      </c>
      <c r="B27">
        <f>-B26/B25</f>
        <v>2.5396431133298722E-3</v>
      </c>
      <c r="M27" s="11" t="s">
        <v>37</v>
      </c>
      <c r="N27" s="11"/>
    </row>
    <row r="28" spans="1:15">
      <c r="A28" s="16" t="s">
        <v>29</v>
      </c>
      <c r="B28">
        <f>((B27*B2)/B1)*1000000</f>
        <v>2093.687644954553</v>
      </c>
      <c r="M28" s="12" t="s">
        <v>21</v>
      </c>
    </row>
    <row r="29" spans="1:15">
      <c r="M29" s="14" t="s">
        <v>35</v>
      </c>
    </row>
    <row r="30" spans="1:15">
      <c r="M30" s="15" t="s">
        <v>22</v>
      </c>
    </row>
    <row r="31" spans="1:15">
      <c r="M31" t="s">
        <v>23</v>
      </c>
    </row>
    <row r="32" spans="1:15">
      <c r="M32" s="16" t="s">
        <v>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27" sqref="B27"/>
    </sheetView>
  </sheetViews>
  <sheetFormatPr baseColWidth="10" defaultRowHeight="15" x14ac:dyDescent="0"/>
  <sheetData>
    <row r="1" spans="1:15" ht="30">
      <c r="A1" s="1" t="s">
        <v>0</v>
      </c>
      <c r="B1">
        <v>0.1229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</row>
    <row r="2" spans="1:15">
      <c r="A2" s="1" t="s">
        <v>1</v>
      </c>
      <c r="B2">
        <v>0.1</v>
      </c>
      <c r="C2" t="s">
        <v>6</v>
      </c>
      <c r="D2">
        <v>0</v>
      </c>
      <c r="E2" s="4">
        <v>7.79</v>
      </c>
      <c r="F2" s="6">
        <v>19.2</v>
      </c>
      <c r="G2" s="8">
        <f>F2+273.15</f>
        <v>292.34999999999997</v>
      </c>
      <c r="H2" s="9">
        <v>-47.4</v>
      </c>
      <c r="I2" s="11">
        <f>H2/1000</f>
        <v>-4.7399999999999998E-2</v>
      </c>
      <c r="J2" s="12">
        <v>253.8</v>
      </c>
      <c r="K2" s="14">
        <f>$J$2-J2</f>
        <v>0</v>
      </c>
      <c r="L2" s="15">
        <f>K2/1000</f>
        <v>0</v>
      </c>
      <c r="M2">
        <f>(0.12677+(L2/1000))*(2.7183^(I2/((8.314472*G2)/96485.3399)))</f>
        <v>1.9314805147145758E-2</v>
      </c>
      <c r="N2" t="e">
        <f>I2-((8.314472*G2)/96485.3399)*LN(((-0.12677*0.002)+(L2*0.1))/(0.12677+L2))</f>
        <v>#NUM!</v>
      </c>
    </row>
    <row r="3" spans="1:15">
      <c r="A3" s="1" t="s">
        <v>2</v>
      </c>
      <c r="B3">
        <v>8.3144720000000003</v>
      </c>
      <c r="C3" t="s">
        <v>4</v>
      </c>
      <c r="D3">
        <v>1</v>
      </c>
      <c r="E3" s="4">
        <v>3.99</v>
      </c>
      <c r="F3" s="6">
        <v>19.5</v>
      </c>
      <c r="G3" s="8">
        <f t="shared" ref="G3:G18" si="0">F3+273.15</f>
        <v>292.64999999999998</v>
      </c>
      <c r="H3" s="9">
        <v>164.1</v>
      </c>
      <c r="I3" s="11">
        <f t="shared" ref="I3:I18" si="1">H3/1000</f>
        <v>0.1641</v>
      </c>
      <c r="J3" s="12">
        <v>251.2</v>
      </c>
      <c r="K3" s="14">
        <f t="shared" ref="K3:K18" si="2">$J$2-J3</f>
        <v>2.6000000000000227</v>
      </c>
      <c r="L3" s="15">
        <f t="shared" ref="L3:L18" si="3">K3/1000</f>
        <v>2.6000000000000229E-3</v>
      </c>
      <c r="M3" s="35">
        <f t="shared" ref="M3:M18" si="4">(0.12677+(L3/1000))*(2.7183^(I3/((8.314472*G3)/96485.3399)))</f>
        <v>84.92526026664045</v>
      </c>
      <c r="N3" s="35">
        <f>I3-((8.314472*G3)/96485.3399)*LN(((-0.12677*0.002)+(L3*0.1))/(0.12677+L3))</f>
        <v>0.41388576893031193</v>
      </c>
      <c r="O3" s="35">
        <f>2.7183^((I3-N3)/((8.314472*G3)/96485.3399))</f>
        <v>4.9930990799882207E-5</v>
      </c>
    </row>
    <row r="4" spans="1:15">
      <c r="A4" s="1" t="s">
        <v>3</v>
      </c>
      <c r="B4">
        <v>96485.339900000006</v>
      </c>
      <c r="C4" t="s">
        <v>5</v>
      </c>
      <c r="D4">
        <v>2</v>
      </c>
      <c r="E4" s="4">
        <v>3.74</v>
      </c>
      <c r="F4" s="6">
        <v>19.5</v>
      </c>
      <c r="G4" s="8">
        <f t="shared" si="0"/>
        <v>292.64999999999998</v>
      </c>
      <c r="H4" s="9">
        <v>177.8</v>
      </c>
      <c r="I4" s="11">
        <f t="shared" si="1"/>
        <v>0.17780000000000001</v>
      </c>
      <c r="J4" s="12">
        <v>251</v>
      </c>
      <c r="K4" s="14">
        <f t="shared" si="2"/>
        <v>2.8000000000000114</v>
      </c>
      <c r="L4" s="15">
        <f t="shared" si="3"/>
        <v>2.8000000000000112E-3</v>
      </c>
      <c r="M4" s="35">
        <f t="shared" si="4"/>
        <v>146.20730131291012</v>
      </c>
      <c r="N4" s="35">
        <f t="shared" ref="N4:N18" si="5">I4-((8.314472*G4)/96485.3399)*LN(((-0.12677*0.002)+(L4*0.1))/(0.12677+L4))</f>
        <v>0.39206630398406456</v>
      </c>
      <c r="O4" s="35">
        <f t="shared" ref="O4:O18" si="6">2.7183^((I4-N4)/((8.314472*G4)/96485.3399))</f>
        <v>2.0420233993703602E-4</v>
      </c>
    </row>
    <row r="5" spans="1:15">
      <c r="A5" s="1" t="s">
        <v>12</v>
      </c>
      <c r="B5">
        <v>2.7183000000000002</v>
      </c>
      <c r="D5">
        <v>3</v>
      </c>
      <c r="E5" s="27">
        <v>3.59</v>
      </c>
      <c r="F5" s="28">
        <v>19.5</v>
      </c>
      <c r="G5" s="29">
        <f t="shared" si="0"/>
        <v>292.64999999999998</v>
      </c>
      <c r="H5" s="30">
        <v>186.7</v>
      </c>
      <c r="I5" s="31">
        <f t="shared" si="1"/>
        <v>0.18669999999999998</v>
      </c>
      <c r="J5" s="32">
        <v>250.9</v>
      </c>
      <c r="K5" s="33">
        <f t="shared" si="2"/>
        <v>2.9000000000000057</v>
      </c>
      <c r="L5" s="34">
        <f t="shared" si="3"/>
        <v>2.9000000000000059E-3</v>
      </c>
      <c r="M5" s="16">
        <f t="shared" si="4"/>
        <v>208.08403715596822</v>
      </c>
      <c r="N5" s="16">
        <f t="shared" si="5"/>
        <v>0.392901123675789</v>
      </c>
      <c r="O5" s="16">
        <f t="shared" si="6"/>
        <v>2.8115992266673426E-4</v>
      </c>
    </row>
    <row r="6" spans="1:15">
      <c r="D6">
        <v>4</v>
      </c>
      <c r="E6" s="27">
        <v>3.46</v>
      </c>
      <c r="F6" s="28">
        <v>19.600000000000001</v>
      </c>
      <c r="G6" s="29">
        <f t="shared" si="0"/>
        <v>292.75</v>
      </c>
      <c r="H6" s="30">
        <v>193.2</v>
      </c>
      <c r="I6" s="31">
        <f t="shared" si="1"/>
        <v>0.19319999999999998</v>
      </c>
      <c r="J6" s="32">
        <v>250.8</v>
      </c>
      <c r="K6" s="33">
        <f t="shared" si="2"/>
        <v>3</v>
      </c>
      <c r="L6" s="34">
        <f t="shared" si="3"/>
        <v>3.0000000000000001E-3</v>
      </c>
      <c r="M6" s="16">
        <f t="shared" si="4"/>
        <v>268.55972880443193</v>
      </c>
      <c r="N6" s="16">
        <f t="shared" si="5"/>
        <v>0.39337654750390705</v>
      </c>
      <c r="O6" s="16">
        <f t="shared" si="6"/>
        <v>3.5799904158827776E-4</v>
      </c>
    </row>
    <row r="7" spans="1:15">
      <c r="D7">
        <v>5</v>
      </c>
      <c r="E7" s="27">
        <v>3.37</v>
      </c>
      <c r="F7" s="28">
        <v>19.600000000000001</v>
      </c>
      <c r="G7" s="29">
        <f t="shared" si="0"/>
        <v>292.75</v>
      </c>
      <c r="H7" s="30">
        <v>198.6</v>
      </c>
      <c r="I7" s="31">
        <f t="shared" si="1"/>
        <v>0.1986</v>
      </c>
      <c r="J7" s="32">
        <v>250.6</v>
      </c>
      <c r="K7" s="33">
        <f t="shared" si="2"/>
        <v>3.2000000000000171</v>
      </c>
      <c r="L7" s="34">
        <f t="shared" si="3"/>
        <v>3.2000000000000171E-3</v>
      </c>
      <c r="M7" s="16">
        <f t="shared" si="4"/>
        <v>332.66315529509319</v>
      </c>
      <c r="N7" s="16">
        <f t="shared" si="5"/>
        <v>0.38978381971450093</v>
      </c>
      <c r="O7" s="16">
        <f t="shared" si="6"/>
        <v>5.1132286783365697E-4</v>
      </c>
    </row>
    <row r="8" spans="1:15">
      <c r="D8">
        <v>6</v>
      </c>
      <c r="E8" s="27">
        <v>3.28</v>
      </c>
      <c r="F8" s="28">
        <v>19.600000000000001</v>
      </c>
      <c r="G8" s="29">
        <f t="shared" si="0"/>
        <v>292.75</v>
      </c>
      <c r="H8" s="30">
        <v>203.3</v>
      </c>
      <c r="I8" s="31">
        <f t="shared" si="1"/>
        <v>0.20330000000000001</v>
      </c>
      <c r="J8" s="32">
        <v>250.5</v>
      </c>
      <c r="K8" s="33">
        <f t="shared" si="2"/>
        <v>3.3000000000000114</v>
      </c>
      <c r="L8" s="34">
        <f t="shared" si="3"/>
        <v>3.3000000000000113E-3</v>
      </c>
      <c r="M8" s="16">
        <f t="shared" si="4"/>
        <v>400.7904797340484</v>
      </c>
      <c r="N8" s="16">
        <f t="shared" si="5"/>
        <v>0.39096717989104512</v>
      </c>
      <c r="O8" s="16">
        <f t="shared" si="6"/>
        <v>5.8780808625068671E-4</v>
      </c>
    </row>
    <row r="9" spans="1:15">
      <c r="D9">
        <v>7</v>
      </c>
      <c r="E9" s="27">
        <v>3.22</v>
      </c>
      <c r="F9" s="28">
        <v>19.7</v>
      </c>
      <c r="G9" s="29">
        <f t="shared" si="0"/>
        <v>292.84999999999997</v>
      </c>
      <c r="H9" s="30">
        <v>207</v>
      </c>
      <c r="I9" s="31">
        <f t="shared" si="1"/>
        <v>0.20699999999999999</v>
      </c>
      <c r="J9" s="32">
        <v>250.3</v>
      </c>
      <c r="K9" s="33">
        <f t="shared" si="2"/>
        <v>3.5</v>
      </c>
      <c r="L9" s="34">
        <f t="shared" si="3"/>
        <v>3.5000000000000001E-3</v>
      </c>
      <c r="M9" s="16">
        <f t="shared" si="4"/>
        <v>462.80514220301347</v>
      </c>
      <c r="N9" s="16">
        <f t="shared" si="5"/>
        <v>0.38890623056377727</v>
      </c>
      <c r="O9" s="16">
        <f t="shared" si="6"/>
        <v>7.4042643776889479E-4</v>
      </c>
    </row>
    <row r="10" spans="1:15">
      <c r="D10">
        <v>8</v>
      </c>
      <c r="E10" s="27">
        <v>3.16</v>
      </c>
      <c r="F10" s="28">
        <v>19.7</v>
      </c>
      <c r="G10" s="29">
        <f t="shared" si="0"/>
        <v>292.84999999999997</v>
      </c>
      <c r="H10" s="30">
        <v>210.2</v>
      </c>
      <c r="I10" s="31">
        <f t="shared" si="1"/>
        <v>0.2102</v>
      </c>
      <c r="J10" s="32">
        <v>250.2</v>
      </c>
      <c r="K10" s="33">
        <f t="shared" si="2"/>
        <v>3.6000000000000227</v>
      </c>
      <c r="L10" s="34">
        <f t="shared" si="3"/>
        <v>3.6000000000000229E-3</v>
      </c>
      <c r="M10" s="16">
        <f t="shared" si="4"/>
        <v>525.37447338898255</v>
      </c>
      <c r="N10" s="16">
        <f t="shared" si="5"/>
        <v>0.38963630419204948</v>
      </c>
      <c r="O10" s="16">
        <f t="shared" si="6"/>
        <v>8.1656009700326656E-4</v>
      </c>
    </row>
    <row r="11" spans="1:15">
      <c r="D11">
        <v>9</v>
      </c>
      <c r="E11" s="27">
        <v>3.11</v>
      </c>
      <c r="F11" s="28">
        <v>19.7</v>
      </c>
      <c r="G11" s="29">
        <f t="shared" si="0"/>
        <v>292.84999999999997</v>
      </c>
      <c r="H11" s="30">
        <v>213.2</v>
      </c>
      <c r="I11" s="31">
        <f t="shared" si="1"/>
        <v>0.2132</v>
      </c>
      <c r="J11" s="32">
        <v>250</v>
      </c>
      <c r="K11" s="33">
        <f t="shared" si="2"/>
        <v>3.8000000000000114</v>
      </c>
      <c r="L11" s="34">
        <f t="shared" si="3"/>
        <v>3.8000000000000113E-3</v>
      </c>
      <c r="M11" s="16">
        <f t="shared" si="4"/>
        <v>591.69540842620017</v>
      </c>
      <c r="N11" s="16">
        <f t="shared" si="5"/>
        <v>0.38833046114311731</v>
      </c>
      <c r="O11" s="16">
        <f t="shared" si="6"/>
        <v>9.6847770130860183E-4</v>
      </c>
    </row>
    <row r="12" spans="1:15">
      <c r="D12">
        <v>10</v>
      </c>
      <c r="E12" s="27">
        <v>3.05</v>
      </c>
      <c r="F12" s="28">
        <v>19.8</v>
      </c>
      <c r="G12" s="29">
        <f t="shared" si="0"/>
        <v>292.95</v>
      </c>
      <c r="H12" s="30">
        <v>216.3</v>
      </c>
      <c r="I12" s="31">
        <f t="shared" si="1"/>
        <v>0.21630000000000002</v>
      </c>
      <c r="J12" s="32">
        <v>249.8</v>
      </c>
      <c r="K12" s="33">
        <f t="shared" si="2"/>
        <v>4</v>
      </c>
      <c r="L12" s="34">
        <f t="shared" si="3"/>
        <v>4.0000000000000001E-3</v>
      </c>
      <c r="M12" s="16">
        <f t="shared" si="4"/>
        <v>667.07968562886651</v>
      </c>
      <c r="N12" s="16">
        <f t="shared" si="5"/>
        <v>0.38782234463764936</v>
      </c>
      <c r="O12" s="16">
        <f t="shared" si="6"/>
        <v>1.1199307784566682E-3</v>
      </c>
    </row>
    <row r="13" spans="1:15">
      <c r="D13">
        <v>11</v>
      </c>
      <c r="E13" s="4"/>
      <c r="F13" s="6"/>
      <c r="G13" s="8">
        <f t="shared" si="0"/>
        <v>273.14999999999998</v>
      </c>
      <c r="H13" s="9"/>
      <c r="I13" s="11">
        <f t="shared" si="1"/>
        <v>0</v>
      </c>
      <c r="J13" s="12"/>
      <c r="K13" s="14">
        <f t="shared" si="2"/>
        <v>253.8</v>
      </c>
      <c r="L13" s="15">
        <f t="shared" si="3"/>
        <v>0.25380000000000003</v>
      </c>
      <c r="M13" s="35">
        <f t="shared" si="4"/>
        <v>0.12702379999999999</v>
      </c>
      <c r="N13" s="35">
        <f t="shared" si="5"/>
        <v>6.3971102899422067E-2</v>
      </c>
      <c r="O13" s="35">
        <f t="shared" si="6"/>
        <v>6.6022028821851916E-2</v>
      </c>
    </row>
    <row r="14" spans="1:15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253.8</v>
      </c>
      <c r="L14" s="15">
        <f t="shared" si="3"/>
        <v>0.25380000000000003</v>
      </c>
      <c r="M14">
        <f t="shared" si="4"/>
        <v>0.12702379999999999</v>
      </c>
      <c r="N14">
        <f t="shared" si="5"/>
        <v>6.3971102899422067E-2</v>
      </c>
      <c r="O14">
        <f t="shared" si="6"/>
        <v>6.6022028821851916E-2</v>
      </c>
    </row>
    <row r="15" spans="1:15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253.8</v>
      </c>
      <c r="L15" s="15">
        <f t="shared" si="3"/>
        <v>0.25380000000000003</v>
      </c>
      <c r="M15">
        <f t="shared" si="4"/>
        <v>0.12702379999999999</v>
      </c>
      <c r="N15">
        <f t="shared" si="5"/>
        <v>6.3971102899422067E-2</v>
      </c>
      <c r="O15">
        <f t="shared" si="6"/>
        <v>6.6022028821851916E-2</v>
      </c>
    </row>
    <row r="16" spans="1:15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253.8</v>
      </c>
      <c r="L16" s="15">
        <f t="shared" si="3"/>
        <v>0.25380000000000003</v>
      </c>
      <c r="M16">
        <f t="shared" si="4"/>
        <v>0.12702379999999999</v>
      </c>
      <c r="N16">
        <f t="shared" si="5"/>
        <v>6.3971102899422067E-2</v>
      </c>
      <c r="O16">
        <f t="shared" si="6"/>
        <v>6.6022028821851916E-2</v>
      </c>
    </row>
    <row r="17" spans="1:15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253.8</v>
      </c>
      <c r="L17" s="15">
        <f t="shared" si="3"/>
        <v>0.25380000000000003</v>
      </c>
      <c r="M17">
        <f t="shared" si="4"/>
        <v>0.12702379999999999</v>
      </c>
      <c r="N17">
        <f t="shared" si="5"/>
        <v>6.3971102899422067E-2</v>
      </c>
      <c r="O17">
        <f t="shared" si="6"/>
        <v>6.6022028821851916E-2</v>
      </c>
    </row>
    <row r="18" spans="1:15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253.8</v>
      </c>
      <c r="L18" s="15">
        <f t="shared" si="3"/>
        <v>0.25380000000000003</v>
      </c>
      <c r="M18">
        <f t="shared" si="4"/>
        <v>0.12702379999999999</v>
      </c>
      <c r="N18">
        <f t="shared" si="5"/>
        <v>6.3971102899422067E-2</v>
      </c>
      <c r="O18">
        <f t="shared" si="6"/>
        <v>6.6022028821851916E-2</v>
      </c>
    </row>
    <row r="22" spans="1:15">
      <c r="I22" s="3"/>
      <c r="M22" t="s">
        <v>31</v>
      </c>
    </row>
    <row r="23" spans="1:15">
      <c r="M23" s="4" t="s">
        <v>18</v>
      </c>
    </row>
    <row r="24" spans="1:15">
      <c r="A24" t="s">
        <v>27</v>
      </c>
      <c r="M24" s="6" t="s">
        <v>19</v>
      </c>
    </row>
    <row r="25" spans="1:15">
      <c r="A25" s="16" t="s">
        <v>26</v>
      </c>
      <c r="B25">
        <f>SLOPE(M5:M12,L5:L12)</f>
        <v>415057.73329842993</v>
      </c>
      <c r="M25" s="8" t="s">
        <v>36</v>
      </c>
    </row>
    <row r="26" spans="1:15">
      <c r="A26" s="16" t="s">
        <v>28</v>
      </c>
      <c r="B26">
        <f>INTERCEPT(M5:M12,L5:L12)</f>
        <v>-984.2530010513201</v>
      </c>
      <c r="M26" s="9" t="s">
        <v>20</v>
      </c>
    </row>
    <row r="27" spans="1:15" ht="16">
      <c r="A27" s="16" t="s">
        <v>32</v>
      </c>
      <c r="B27">
        <f>-B26/B25</f>
        <v>2.3713640828458777E-3</v>
      </c>
      <c r="M27" s="11" t="s">
        <v>37</v>
      </c>
      <c r="N27" s="11"/>
    </row>
    <row r="28" spans="1:15">
      <c r="A28" s="16" t="s">
        <v>29</v>
      </c>
      <c r="B28">
        <f>((B27*B2)/B1)*1000000</f>
        <v>1929.5069836012024</v>
      </c>
      <c r="M28" s="12" t="s">
        <v>21</v>
      </c>
    </row>
    <row r="29" spans="1:15">
      <c r="M29" s="14" t="s">
        <v>35</v>
      </c>
    </row>
    <row r="30" spans="1:15">
      <c r="M30" s="15" t="s">
        <v>22</v>
      </c>
    </row>
    <row r="31" spans="1:15">
      <c r="M31" t="s">
        <v>23</v>
      </c>
    </row>
    <row r="32" spans="1:15">
      <c r="M32" s="16" t="s">
        <v>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27" sqref="B27"/>
    </sheetView>
  </sheetViews>
  <sheetFormatPr baseColWidth="10" defaultRowHeight="15" x14ac:dyDescent="0"/>
  <sheetData>
    <row r="1" spans="1:15" ht="30">
      <c r="A1" s="1" t="s">
        <v>0</v>
      </c>
      <c r="B1">
        <v>0.13059999999999999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</row>
    <row r="2" spans="1:15">
      <c r="A2" s="1" t="s">
        <v>1</v>
      </c>
      <c r="B2">
        <v>0.1</v>
      </c>
      <c r="C2" t="s">
        <v>6</v>
      </c>
      <c r="D2">
        <v>0</v>
      </c>
      <c r="E2" s="4">
        <v>7.64</v>
      </c>
      <c r="F2" s="6">
        <v>19.7</v>
      </c>
      <c r="G2" s="8">
        <f>F2+273.15</f>
        <v>292.84999999999997</v>
      </c>
      <c r="H2" s="9">
        <v>-29.1</v>
      </c>
      <c r="I2" s="11">
        <f>H2/1000</f>
        <v>-2.9100000000000001E-2</v>
      </c>
      <c r="J2" s="12">
        <v>249.9</v>
      </c>
      <c r="K2" s="14">
        <f>$J$2-J2</f>
        <v>0</v>
      </c>
      <c r="L2" s="15">
        <f>K2/1000</f>
        <v>0</v>
      </c>
      <c r="M2">
        <f>(0.12677+(L2/1000))*(2.7183^(I2/((8.314472*G2)/96485.3399)))</f>
        <v>4.0014702389222341E-2</v>
      </c>
      <c r="N2" t="e">
        <f>I2-((8.314472*G2)/96485.3399)*LN(((-0.12677*0.002)+(L2*0.1))/(0.12677+L2))</f>
        <v>#NUM!</v>
      </c>
    </row>
    <row r="3" spans="1:15">
      <c r="A3" s="1" t="s">
        <v>2</v>
      </c>
      <c r="B3">
        <v>8.3144720000000003</v>
      </c>
      <c r="C3" t="s">
        <v>4</v>
      </c>
      <c r="D3">
        <v>1</v>
      </c>
      <c r="E3" s="4">
        <v>3.56</v>
      </c>
      <c r="F3" s="6">
        <v>20</v>
      </c>
      <c r="G3" s="8">
        <f t="shared" ref="G3:G18" si="0">F3+273.15</f>
        <v>293.14999999999998</v>
      </c>
      <c r="H3" s="9">
        <v>188</v>
      </c>
      <c r="I3" s="11">
        <f t="shared" ref="I3:I18" si="1">H3/1000</f>
        <v>0.188</v>
      </c>
      <c r="J3" s="12">
        <v>246.9</v>
      </c>
      <c r="K3" s="14">
        <f t="shared" ref="K3:K18" si="2">$J$2-J3</f>
        <v>3</v>
      </c>
      <c r="L3" s="15">
        <f t="shared" ref="L3:L18" si="3">K3/1000</f>
        <v>3.0000000000000001E-3</v>
      </c>
      <c r="M3" s="35">
        <f t="shared" ref="M3:M18" si="4">(0.12677+(L3/1000))*(2.7183^(I3/((8.314472*G3)/96485.3399)))</f>
        <v>216.32398752874076</v>
      </c>
      <c r="N3" s="35">
        <f>I3-((8.314472*G3)/96485.3399)*LN(((-0.12677*0.002)+(L3*0.1))/(0.12677+L3))</f>
        <v>0.38845005943901056</v>
      </c>
      <c r="O3" s="35">
        <f>2.7183^((I3-N3)/((8.314472*G3)/96485.3399))</f>
        <v>3.5799904158827841E-4</v>
      </c>
    </row>
    <row r="4" spans="1:15">
      <c r="A4" s="1" t="s">
        <v>3</v>
      </c>
      <c r="B4">
        <v>96485.339900000006</v>
      </c>
      <c r="C4" t="s">
        <v>5</v>
      </c>
      <c r="D4">
        <v>2</v>
      </c>
      <c r="E4" s="27">
        <v>3.46</v>
      </c>
      <c r="F4" s="28">
        <v>20.100000000000001</v>
      </c>
      <c r="G4" s="29">
        <f t="shared" si="0"/>
        <v>293.25</v>
      </c>
      <c r="H4" s="30">
        <v>193.8</v>
      </c>
      <c r="I4" s="31">
        <f t="shared" si="1"/>
        <v>0.1938</v>
      </c>
      <c r="J4" s="32">
        <v>246.7</v>
      </c>
      <c r="K4" s="33">
        <f t="shared" si="2"/>
        <v>3.2000000000000171</v>
      </c>
      <c r="L4" s="34">
        <f t="shared" si="3"/>
        <v>3.2000000000000171E-3</v>
      </c>
      <c r="M4" s="16">
        <f t="shared" si="4"/>
        <v>271.44524993223104</v>
      </c>
      <c r="N4" s="16">
        <f t="shared" ref="N4:N18" si="5">I4-((8.314472*G4)/96485.3399)*LN(((-0.12677*0.002)+(L4*0.1))/(0.12677+L4))</f>
        <v>0.38531035057652396</v>
      </c>
      <c r="O4" s="16">
        <f t="shared" ref="O4:O18" si="6">2.7183^((I4-N4)/((8.314472*G4)/96485.3399))</f>
        <v>5.1132286783365794E-4</v>
      </c>
    </row>
    <row r="5" spans="1:15">
      <c r="A5" s="1" t="s">
        <v>12</v>
      </c>
      <c r="B5">
        <v>2.7183000000000002</v>
      </c>
      <c r="D5">
        <v>3</v>
      </c>
      <c r="E5" s="27">
        <v>3.38</v>
      </c>
      <c r="F5" s="28">
        <v>20.100000000000001</v>
      </c>
      <c r="G5" s="29">
        <f t="shared" si="0"/>
        <v>293.25</v>
      </c>
      <c r="H5" s="30">
        <v>198.6</v>
      </c>
      <c r="I5" s="31">
        <f t="shared" si="1"/>
        <v>0.1986</v>
      </c>
      <c r="J5" s="32">
        <v>246.6</v>
      </c>
      <c r="K5" s="33">
        <f t="shared" si="2"/>
        <v>3.3000000000000114</v>
      </c>
      <c r="L5" s="34">
        <f t="shared" si="3"/>
        <v>3.3000000000000113E-3</v>
      </c>
      <c r="M5" s="16">
        <f t="shared" si="4"/>
        <v>328.22797003636731</v>
      </c>
      <c r="N5" s="16">
        <f t="shared" si="5"/>
        <v>0.38658770453646107</v>
      </c>
      <c r="O5" s="16">
        <f t="shared" si="6"/>
        <v>5.8780808625068671E-4</v>
      </c>
    </row>
    <row r="6" spans="1:15">
      <c r="D6">
        <v>4</v>
      </c>
      <c r="E6" s="27">
        <v>3.29</v>
      </c>
      <c r="F6" s="28">
        <v>20.100000000000001</v>
      </c>
      <c r="G6" s="29">
        <f t="shared" si="0"/>
        <v>293.25</v>
      </c>
      <c r="H6" s="30">
        <v>203</v>
      </c>
      <c r="I6" s="31">
        <f t="shared" si="1"/>
        <v>0.20300000000000001</v>
      </c>
      <c r="J6" s="32">
        <v>246.4</v>
      </c>
      <c r="K6" s="33">
        <f t="shared" si="2"/>
        <v>3.5</v>
      </c>
      <c r="L6" s="34">
        <f t="shared" si="3"/>
        <v>3.5000000000000001E-3</v>
      </c>
      <c r="M6" s="16">
        <f t="shared" si="4"/>
        <v>390.65631889503504</v>
      </c>
      <c r="N6" s="16">
        <f t="shared" si="5"/>
        <v>0.38515469391438517</v>
      </c>
      <c r="O6" s="16">
        <f t="shared" si="6"/>
        <v>7.4042643776889479E-4</v>
      </c>
    </row>
    <row r="7" spans="1:15">
      <c r="D7">
        <v>5</v>
      </c>
      <c r="E7" s="27">
        <v>3.22</v>
      </c>
      <c r="F7" s="28">
        <v>20.100000000000001</v>
      </c>
      <c r="G7" s="29">
        <f t="shared" si="0"/>
        <v>293.25</v>
      </c>
      <c r="H7" s="30">
        <v>207.4</v>
      </c>
      <c r="I7" s="31">
        <f t="shared" si="1"/>
        <v>0.2074</v>
      </c>
      <c r="J7" s="32">
        <v>246.3</v>
      </c>
      <c r="K7" s="33">
        <f t="shared" si="2"/>
        <v>3.5999999999999943</v>
      </c>
      <c r="L7" s="34">
        <f t="shared" si="3"/>
        <v>3.5999999999999943E-3</v>
      </c>
      <c r="M7" s="16">
        <f t="shared" si="4"/>
        <v>464.95805672384114</v>
      </c>
      <c r="N7" s="16">
        <f t="shared" si="5"/>
        <v>0.38708139390240304</v>
      </c>
      <c r="O7" s="16">
        <f t="shared" si="6"/>
        <v>8.1656009700324336E-4</v>
      </c>
    </row>
    <row r="8" spans="1:15">
      <c r="D8">
        <v>6</v>
      </c>
      <c r="E8" s="27">
        <v>3.16</v>
      </c>
      <c r="F8" s="28">
        <v>20.100000000000001</v>
      </c>
      <c r="G8" s="29">
        <f t="shared" si="0"/>
        <v>293.25</v>
      </c>
      <c r="H8" s="30">
        <v>210.6</v>
      </c>
      <c r="I8" s="31">
        <f t="shared" si="1"/>
        <v>0.21059999999999998</v>
      </c>
      <c r="J8" s="32">
        <v>246.1</v>
      </c>
      <c r="K8" s="33">
        <f t="shared" si="2"/>
        <v>3.8000000000000114</v>
      </c>
      <c r="L8" s="34">
        <f t="shared" si="3"/>
        <v>3.8000000000000113E-3</v>
      </c>
      <c r="M8" s="16">
        <f t="shared" si="4"/>
        <v>527.72758346356852</v>
      </c>
      <c r="N8" s="16">
        <f t="shared" si="5"/>
        <v>0.38596966955854245</v>
      </c>
      <c r="O8" s="16">
        <f t="shared" si="6"/>
        <v>9.6847770130860183E-4</v>
      </c>
    </row>
    <row r="9" spans="1:15">
      <c r="D9">
        <v>7</v>
      </c>
      <c r="E9" s="27">
        <v>3.11</v>
      </c>
      <c r="F9" s="28">
        <v>20.2</v>
      </c>
      <c r="G9" s="29">
        <f t="shared" si="0"/>
        <v>293.34999999999997</v>
      </c>
      <c r="H9" s="30">
        <v>213.5</v>
      </c>
      <c r="I9" s="31">
        <f t="shared" si="1"/>
        <v>0.2135</v>
      </c>
      <c r="J9" s="32">
        <v>245.9</v>
      </c>
      <c r="K9" s="33">
        <f t="shared" si="2"/>
        <v>4</v>
      </c>
      <c r="L9" s="34">
        <f t="shared" si="3"/>
        <v>4.0000000000000001E-3</v>
      </c>
      <c r="M9" s="16">
        <f t="shared" si="4"/>
        <v>590.19999308712704</v>
      </c>
      <c r="N9" s="16">
        <f t="shared" si="5"/>
        <v>0.38525654480100502</v>
      </c>
      <c r="O9" s="16">
        <f t="shared" si="6"/>
        <v>1.1199307784566692E-3</v>
      </c>
    </row>
    <row r="10" spans="1:15">
      <c r="D10">
        <v>8</v>
      </c>
      <c r="E10" s="27">
        <v>3.07</v>
      </c>
      <c r="F10" s="28">
        <v>20.2</v>
      </c>
      <c r="G10" s="29">
        <f t="shared" si="0"/>
        <v>293.34999999999997</v>
      </c>
      <c r="H10" s="30">
        <v>215.9</v>
      </c>
      <c r="I10" s="31">
        <f t="shared" si="1"/>
        <v>0.21590000000000001</v>
      </c>
      <c r="J10" s="32">
        <v>245.7</v>
      </c>
      <c r="K10" s="33">
        <f t="shared" si="2"/>
        <v>4.2000000000000171</v>
      </c>
      <c r="L10" s="34">
        <f t="shared" si="3"/>
        <v>4.2000000000000171E-3</v>
      </c>
      <c r="M10" s="16">
        <f t="shared" si="4"/>
        <v>648.98151018624367</v>
      </c>
      <c r="N10" s="16">
        <f t="shared" si="5"/>
        <v>0.38445940045977922</v>
      </c>
      <c r="O10" s="16">
        <f t="shared" si="6"/>
        <v>1.2709214342583367E-3</v>
      </c>
    </row>
    <row r="11" spans="1:15">
      <c r="D11">
        <v>9</v>
      </c>
      <c r="E11" s="27">
        <v>3.03</v>
      </c>
      <c r="F11" s="28">
        <v>20.2</v>
      </c>
      <c r="G11" s="29">
        <f t="shared" si="0"/>
        <v>293.34999999999997</v>
      </c>
      <c r="H11" s="30">
        <v>218.1</v>
      </c>
      <c r="I11" s="31">
        <f t="shared" si="1"/>
        <v>0.21809999999999999</v>
      </c>
      <c r="J11" s="32">
        <v>245.6</v>
      </c>
      <c r="K11" s="33">
        <f t="shared" si="2"/>
        <v>4.3000000000000114</v>
      </c>
      <c r="L11" s="34">
        <f t="shared" si="3"/>
        <v>4.3000000000000113E-3</v>
      </c>
      <c r="M11" s="16">
        <f t="shared" si="4"/>
        <v>707.9931702327807</v>
      </c>
      <c r="N11" s="16">
        <f t="shared" si="5"/>
        <v>0.38520393981245959</v>
      </c>
      <c r="O11" s="16">
        <f t="shared" si="6"/>
        <v>1.3462440102349719E-3</v>
      </c>
    </row>
    <row r="12" spans="1:15">
      <c r="D12">
        <v>10</v>
      </c>
      <c r="E12" s="4"/>
      <c r="F12" s="6"/>
      <c r="G12" s="8">
        <f t="shared" si="0"/>
        <v>273.14999999999998</v>
      </c>
      <c r="H12" s="9"/>
      <c r="I12" s="11">
        <f t="shared" si="1"/>
        <v>0</v>
      </c>
      <c r="J12" s="12"/>
      <c r="K12" s="14">
        <f t="shared" si="2"/>
        <v>249.9</v>
      </c>
      <c r="L12" s="15">
        <f t="shared" si="3"/>
        <v>0.24990000000000001</v>
      </c>
      <c r="M12" s="35">
        <f t="shared" si="4"/>
        <v>0.12701989999999999</v>
      </c>
      <c r="N12" s="35">
        <f t="shared" si="5"/>
        <v>6.4096857268572408E-2</v>
      </c>
      <c r="O12" s="35">
        <f t="shared" si="6"/>
        <v>6.5670241088276876E-2</v>
      </c>
    </row>
    <row r="13" spans="1:15">
      <c r="D13">
        <v>11</v>
      </c>
      <c r="E13" s="4"/>
      <c r="F13" s="6"/>
      <c r="G13" s="8">
        <f t="shared" si="0"/>
        <v>273.14999999999998</v>
      </c>
      <c r="H13" s="9"/>
      <c r="I13" s="11">
        <f t="shared" si="1"/>
        <v>0</v>
      </c>
      <c r="J13" s="12"/>
      <c r="K13" s="14">
        <f t="shared" si="2"/>
        <v>249.9</v>
      </c>
      <c r="L13" s="15">
        <f t="shared" si="3"/>
        <v>0.24990000000000001</v>
      </c>
      <c r="M13" s="35">
        <f t="shared" si="4"/>
        <v>0.12701989999999999</v>
      </c>
      <c r="N13" s="35">
        <f t="shared" si="5"/>
        <v>6.4096857268572408E-2</v>
      </c>
      <c r="O13" s="35">
        <f t="shared" si="6"/>
        <v>6.5670241088276876E-2</v>
      </c>
    </row>
    <row r="14" spans="1:15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249.9</v>
      </c>
      <c r="L14" s="15">
        <f t="shared" si="3"/>
        <v>0.24990000000000001</v>
      </c>
      <c r="M14">
        <f t="shared" si="4"/>
        <v>0.12701989999999999</v>
      </c>
      <c r="N14">
        <f t="shared" si="5"/>
        <v>6.4096857268572408E-2</v>
      </c>
      <c r="O14">
        <f t="shared" si="6"/>
        <v>6.5670241088276876E-2</v>
      </c>
    </row>
    <row r="15" spans="1:15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249.9</v>
      </c>
      <c r="L15" s="15">
        <f t="shared" si="3"/>
        <v>0.24990000000000001</v>
      </c>
      <c r="M15">
        <f t="shared" si="4"/>
        <v>0.12701989999999999</v>
      </c>
      <c r="N15">
        <f t="shared" si="5"/>
        <v>6.4096857268572408E-2</v>
      </c>
      <c r="O15">
        <f t="shared" si="6"/>
        <v>6.5670241088276876E-2</v>
      </c>
    </row>
    <row r="16" spans="1:15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249.9</v>
      </c>
      <c r="L16" s="15">
        <f t="shared" si="3"/>
        <v>0.24990000000000001</v>
      </c>
      <c r="M16">
        <f t="shared" si="4"/>
        <v>0.12701989999999999</v>
      </c>
      <c r="N16">
        <f t="shared" si="5"/>
        <v>6.4096857268572408E-2</v>
      </c>
      <c r="O16">
        <f t="shared" si="6"/>
        <v>6.5670241088276876E-2</v>
      </c>
    </row>
    <row r="17" spans="1:15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249.9</v>
      </c>
      <c r="L17" s="15">
        <f t="shared" si="3"/>
        <v>0.24990000000000001</v>
      </c>
      <c r="M17">
        <f t="shared" si="4"/>
        <v>0.12701989999999999</v>
      </c>
      <c r="N17">
        <f t="shared" si="5"/>
        <v>6.4096857268572408E-2</v>
      </c>
      <c r="O17">
        <f t="shared" si="6"/>
        <v>6.5670241088276876E-2</v>
      </c>
    </row>
    <row r="18" spans="1:15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249.9</v>
      </c>
      <c r="L18" s="15">
        <f t="shared" si="3"/>
        <v>0.24990000000000001</v>
      </c>
      <c r="M18">
        <f t="shared" si="4"/>
        <v>0.12701989999999999</v>
      </c>
      <c r="N18">
        <f t="shared" si="5"/>
        <v>6.4096857268572408E-2</v>
      </c>
      <c r="O18">
        <f t="shared" si="6"/>
        <v>6.5670241088276876E-2</v>
      </c>
    </row>
    <row r="22" spans="1:15">
      <c r="I22" s="3"/>
      <c r="M22" t="s">
        <v>31</v>
      </c>
    </row>
    <row r="23" spans="1:15">
      <c r="M23" s="4" t="s">
        <v>18</v>
      </c>
    </row>
    <row r="24" spans="1:15">
      <c r="A24" t="s">
        <v>27</v>
      </c>
      <c r="M24" s="6" t="s">
        <v>19</v>
      </c>
    </row>
    <row r="25" spans="1:15">
      <c r="A25" s="16" t="s">
        <v>26</v>
      </c>
      <c r="B25">
        <f>SLOPE(M4:M11,L4:L11)</f>
        <v>379802.72845940519</v>
      </c>
      <c r="M25" s="8" t="s">
        <v>36</v>
      </c>
    </row>
    <row r="26" spans="1:15">
      <c r="A26" s="16" t="s">
        <v>28</v>
      </c>
      <c r="B26">
        <f>INTERCEPT(M4:M11,L4:L11)</f>
        <v>-928.23896604738047</v>
      </c>
      <c r="M26" s="9" t="s">
        <v>20</v>
      </c>
    </row>
    <row r="27" spans="1:15" ht="16">
      <c r="A27" s="16" t="s">
        <v>32</v>
      </c>
      <c r="B27">
        <f>-B26/B25</f>
        <v>2.4440028901651094E-3</v>
      </c>
      <c r="M27" s="11" t="s">
        <v>37</v>
      </c>
      <c r="N27" s="11"/>
    </row>
    <row r="28" spans="1:15">
      <c r="A28" s="16" t="s">
        <v>29</v>
      </c>
      <c r="B28">
        <f>((B27*B2)/B1)*1000000</f>
        <v>1871.3651532657807</v>
      </c>
      <c r="M28" s="12" t="s">
        <v>21</v>
      </c>
    </row>
    <row r="29" spans="1:15">
      <c r="M29" s="14" t="s">
        <v>35</v>
      </c>
    </row>
    <row r="30" spans="1:15">
      <c r="M30" s="15" t="s">
        <v>22</v>
      </c>
    </row>
    <row r="31" spans="1:15">
      <c r="M31" t="s">
        <v>23</v>
      </c>
    </row>
    <row r="32" spans="1:15">
      <c r="M32" s="16" t="s">
        <v>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B27" sqref="B27"/>
    </sheetView>
  </sheetViews>
  <sheetFormatPr baseColWidth="10" defaultRowHeight="15" x14ac:dyDescent="0"/>
  <sheetData>
    <row r="1" spans="1:15" ht="30">
      <c r="A1" s="1" t="s">
        <v>0</v>
      </c>
      <c r="B1">
        <v>0.1212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</row>
    <row r="2" spans="1:15">
      <c r="A2" s="1" t="s">
        <v>1</v>
      </c>
      <c r="B2">
        <v>0.1</v>
      </c>
      <c r="C2" t="s">
        <v>6</v>
      </c>
      <c r="D2">
        <v>0</v>
      </c>
      <c r="E2" s="4">
        <v>8.23</v>
      </c>
      <c r="F2" s="6">
        <v>20</v>
      </c>
      <c r="G2" s="8">
        <f>F2+273.15</f>
        <v>293.14999999999998</v>
      </c>
      <c r="H2" s="9">
        <v>-72</v>
      </c>
      <c r="I2" s="11">
        <f>H2/1000</f>
        <v>-7.1999999999999995E-2</v>
      </c>
      <c r="J2" s="12">
        <v>245.6</v>
      </c>
      <c r="K2" s="14">
        <f>$J$2-J2</f>
        <v>0</v>
      </c>
      <c r="L2" s="15">
        <f>K2/1000</f>
        <v>0</v>
      </c>
      <c r="M2">
        <f>(0.12677+(L2/1000))*(2.7183^(I2/((8.314472*G2)/96485.3399)))</f>
        <v>7.3316110591971021E-3</v>
      </c>
      <c r="N2" t="e">
        <f>I2-((8.314472*G2)/96485.3399)*LN(((-0.12677*0.002)+(L2*0.1))/(0.12677+L2))</f>
        <v>#NUM!</v>
      </c>
    </row>
    <row r="3" spans="1:15">
      <c r="A3" s="1" t="s">
        <v>2</v>
      </c>
      <c r="B3">
        <v>8.3144720000000003</v>
      </c>
      <c r="C3" t="s">
        <v>4</v>
      </c>
      <c r="D3">
        <v>1</v>
      </c>
      <c r="E3" s="4">
        <v>3.63</v>
      </c>
      <c r="F3" s="6">
        <v>20.3</v>
      </c>
      <c r="G3" s="8">
        <f t="shared" ref="G3:G18" si="0">F3+273.15</f>
        <v>293.45</v>
      </c>
      <c r="H3" s="9">
        <v>184.4</v>
      </c>
      <c r="I3" s="11">
        <f t="shared" ref="I3:I18" si="1">H3/1000</f>
        <v>0.18440000000000001</v>
      </c>
      <c r="J3" s="12">
        <v>242.6</v>
      </c>
      <c r="K3" s="14">
        <f t="shared" ref="K3:K18" si="2">$J$2-J3</f>
        <v>3</v>
      </c>
      <c r="L3" s="15">
        <f t="shared" ref="L3:L18" si="3">K3/1000</f>
        <v>3.0000000000000001E-3</v>
      </c>
      <c r="M3" s="35">
        <f t="shared" ref="M3:M18" si="4">(0.12677+(L3/1000))*(2.7183^(I3/((8.314472*G3)/96485.3399)))</f>
        <v>186.19708531602686</v>
      </c>
      <c r="N3" s="35">
        <f>I3-((8.314472*G3)/96485.3399)*LN(((-0.12677*0.002)+(L3*0.1))/(0.12677+L3))</f>
        <v>0.38505519339033822</v>
      </c>
      <c r="O3" s="35">
        <f>2.7183^((I3-N3)/((8.314472*G3)/96485.3399))</f>
        <v>3.5799904158827841E-4</v>
      </c>
    </row>
    <row r="4" spans="1:15">
      <c r="A4" s="1" t="s">
        <v>3</v>
      </c>
      <c r="B4">
        <v>96485.339900000006</v>
      </c>
      <c r="C4" t="s">
        <v>5</v>
      </c>
      <c r="D4">
        <v>2</v>
      </c>
      <c r="E4" s="27">
        <v>3.47</v>
      </c>
      <c r="F4" s="28">
        <v>20.3</v>
      </c>
      <c r="G4" s="29">
        <f t="shared" si="0"/>
        <v>293.45</v>
      </c>
      <c r="H4" s="30">
        <v>193.2</v>
      </c>
      <c r="I4" s="31">
        <f t="shared" si="1"/>
        <v>0.19319999999999998</v>
      </c>
      <c r="J4" s="32">
        <v>242.4</v>
      </c>
      <c r="K4" s="33">
        <f t="shared" si="2"/>
        <v>3.1999999999999886</v>
      </c>
      <c r="L4" s="34">
        <f t="shared" si="3"/>
        <v>3.1999999999999884E-3</v>
      </c>
      <c r="M4" s="16">
        <f t="shared" si="4"/>
        <v>263.69849503438348</v>
      </c>
      <c r="N4" s="16">
        <f t="shared" ref="N4:N18" si="5">I4-((8.314472*G4)/96485.3399)*LN(((-0.12677*0.002)+(L4*0.1))/(0.12677+L4))</f>
        <v>0.38484096292133424</v>
      </c>
      <c r="O4" s="16">
        <f t="shared" ref="O4:O18" si="6">2.7183^((I4-N4)/((8.314472*G4)/96485.3399))</f>
        <v>5.1132286783363561E-4</v>
      </c>
    </row>
    <row r="5" spans="1:15">
      <c r="A5" s="1" t="s">
        <v>12</v>
      </c>
      <c r="B5">
        <v>2.7183000000000002</v>
      </c>
      <c r="D5">
        <v>3</v>
      </c>
      <c r="E5" s="27">
        <v>3.38</v>
      </c>
      <c r="F5" s="28">
        <v>20.3</v>
      </c>
      <c r="G5" s="29">
        <f t="shared" si="0"/>
        <v>293.45</v>
      </c>
      <c r="H5" s="30">
        <v>198.8</v>
      </c>
      <c r="I5" s="31">
        <f t="shared" si="1"/>
        <v>0.1988</v>
      </c>
      <c r="J5" s="32">
        <v>242.2</v>
      </c>
      <c r="K5" s="33">
        <f t="shared" si="2"/>
        <v>3.4000000000000057</v>
      </c>
      <c r="L5" s="34">
        <f t="shared" si="3"/>
        <v>3.4000000000000059E-3</v>
      </c>
      <c r="M5" s="16">
        <f t="shared" si="4"/>
        <v>329.06718344633578</v>
      </c>
      <c r="N5" s="16">
        <f t="shared" si="5"/>
        <v>0.3838271456773425</v>
      </c>
      <c r="O5" s="16">
        <f t="shared" si="6"/>
        <v>6.6417585534432676E-4</v>
      </c>
    </row>
    <row r="6" spans="1:15">
      <c r="D6">
        <v>4</v>
      </c>
      <c r="E6" s="27">
        <v>3.29</v>
      </c>
      <c r="F6" s="28">
        <v>20.3</v>
      </c>
      <c r="G6" s="29">
        <f t="shared" si="0"/>
        <v>293.45</v>
      </c>
      <c r="H6" s="30">
        <v>203.4</v>
      </c>
      <c r="I6" s="31">
        <f t="shared" si="1"/>
        <v>0.2034</v>
      </c>
      <c r="J6" s="32">
        <v>242.1</v>
      </c>
      <c r="K6" s="33">
        <f t="shared" si="2"/>
        <v>3.5</v>
      </c>
      <c r="L6" s="34">
        <f t="shared" si="3"/>
        <v>3.5000000000000001E-3</v>
      </c>
      <c r="M6" s="16">
        <f t="shared" si="4"/>
        <v>394.71790406039366</v>
      </c>
      <c r="N6" s="16">
        <f t="shared" si="5"/>
        <v>0.38567892558968908</v>
      </c>
      <c r="O6" s="16">
        <f t="shared" si="6"/>
        <v>7.4042643776889413E-4</v>
      </c>
    </row>
    <row r="7" spans="1:15">
      <c r="D7">
        <v>5</v>
      </c>
      <c r="E7" s="27">
        <v>3.22</v>
      </c>
      <c r="F7" s="28">
        <v>20.3</v>
      </c>
      <c r="G7" s="29">
        <f t="shared" si="0"/>
        <v>293.45</v>
      </c>
      <c r="H7" s="30">
        <v>207.5</v>
      </c>
      <c r="I7" s="31">
        <f t="shared" si="1"/>
        <v>0.20749999999999999</v>
      </c>
      <c r="J7" s="32">
        <v>241.9</v>
      </c>
      <c r="K7" s="33">
        <f t="shared" si="2"/>
        <v>3.6999999999999886</v>
      </c>
      <c r="L7" s="34">
        <f t="shared" si="3"/>
        <v>3.6999999999999885E-3</v>
      </c>
      <c r="M7" s="16">
        <f t="shared" si="4"/>
        <v>464.19692222905559</v>
      </c>
      <c r="N7" s="16">
        <f t="shared" si="5"/>
        <v>0.38505304514690664</v>
      </c>
      <c r="O7" s="16">
        <f t="shared" si="6"/>
        <v>8.9257709688529902E-4</v>
      </c>
    </row>
    <row r="8" spans="1:15">
      <c r="D8">
        <v>6</v>
      </c>
      <c r="E8" s="27">
        <v>3.16</v>
      </c>
      <c r="F8" s="28">
        <v>20.399999999999999</v>
      </c>
      <c r="G8" s="29">
        <f t="shared" si="0"/>
        <v>293.54999999999995</v>
      </c>
      <c r="H8" s="30">
        <v>210.8</v>
      </c>
      <c r="I8" s="31">
        <f t="shared" si="1"/>
        <v>0.21080000000000002</v>
      </c>
      <c r="J8" s="32">
        <v>241.7</v>
      </c>
      <c r="K8" s="33">
        <f t="shared" si="2"/>
        <v>3.9000000000000057</v>
      </c>
      <c r="L8" s="34">
        <f t="shared" si="3"/>
        <v>3.9000000000000059E-3</v>
      </c>
      <c r="M8" s="16">
        <f t="shared" si="4"/>
        <v>527.40582966659713</v>
      </c>
      <c r="N8" s="16">
        <f t="shared" si="5"/>
        <v>0.3844432620875794</v>
      </c>
      <c r="O8" s="16">
        <f t="shared" si="6"/>
        <v>1.0442621740162686E-3</v>
      </c>
    </row>
    <row r="9" spans="1:15">
      <c r="D9">
        <v>7</v>
      </c>
      <c r="E9" s="27">
        <v>3.11</v>
      </c>
      <c r="F9" s="28">
        <v>20.399999999999999</v>
      </c>
      <c r="G9" s="29">
        <f t="shared" si="0"/>
        <v>293.54999999999995</v>
      </c>
      <c r="H9" s="30">
        <v>213.6</v>
      </c>
      <c r="I9" s="31">
        <f t="shared" si="1"/>
        <v>0.21359999999999998</v>
      </c>
      <c r="J9" s="32">
        <v>241.6</v>
      </c>
      <c r="K9" s="33">
        <f t="shared" si="2"/>
        <v>4</v>
      </c>
      <c r="L9" s="34">
        <f t="shared" si="3"/>
        <v>4.0000000000000001E-3</v>
      </c>
      <c r="M9" s="16">
        <f t="shared" si="4"/>
        <v>589.13795887638059</v>
      </c>
      <c r="N9" s="16">
        <f t="shared" si="5"/>
        <v>0.38547364488268288</v>
      </c>
      <c r="O9" s="16">
        <f t="shared" si="6"/>
        <v>1.1199307784566692E-3</v>
      </c>
    </row>
    <row r="10" spans="1:15">
      <c r="D10">
        <v>8</v>
      </c>
      <c r="E10" s="27">
        <v>3.06</v>
      </c>
      <c r="F10" s="28">
        <v>20.399999999999999</v>
      </c>
      <c r="G10" s="29">
        <f t="shared" si="0"/>
        <v>293.54999999999995</v>
      </c>
      <c r="H10" s="30">
        <v>216</v>
      </c>
      <c r="I10" s="31">
        <f t="shared" si="1"/>
        <v>0.216</v>
      </c>
      <c r="J10" s="32">
        <v>241.4</v>
      </c>
      <c r="K10" s="33">
        <f t="shared" si="2"/>
        <v>4.1999999999999886</v>
      </c>
      <c r="L10" s="34">
        <f t="shared" si="3"/>
        <v>4.1999999999999885E-3</v>
      </c>
      <c r="M10" s="16">
        <f t="shared" si="4"/>
        <v>647.77179930963985</v>
      </c>
      <c r="N10" s="16">
        <f t="shared" si="5"/>
        <v>0.38467432079416508</v>
      </c>
      <c r="O10" s="16">
        <f t="shared" si="6"/>
        <v>1.2709214342583131E-3</v>
      </c>
    </row>
    <row r="11" spans="1:15">
      <c r="D11">
        <v>9</v>
      </c>
      <c r="E11" s="27">
        <v>3.02</v>
      </c>
      <c r="F11" s="28">
        <v>20.399999999999999</v>
      </c>
      <c r="G11" s="29">
        <f t="shared" si="0"/>
        <v>293.54999999999995</v>
      </c>
      <c r="H11" s="30">
        <v>218.6</v>
      </c>
      <c r="I11" s="31">
        <f t="shared" si="1"/>
        <v>0.21859999999999999</v>
      </c>
      <c r="J11" s="32">
        <v>241.3</v>
      </c>
      <c r="K11" s="33">
        <f t="shared" si="2"/>
        <v>4.2999999999999829</v>
      </c>
      <c r="L11" s="34">
        <f t="shared" si="3"/>
        <v>4.2999999999999827E-3</v>
      </c>
      <c r="M11" s="16">
        <f t="shared" si="4"/>
        <v>717.89416165975956</v>
      </c>
      <c r="N11" s="16">
        <f t="shared" si="5"/>
        <v>0.38581786784369398</v>
      </c>
      <c r="O11" s="16">
        <f t="shared" si="6"/>
        <v>1.3462440102349517E-3</v>
      </c>
    </row>
    <row r="12" spans="1:15">
      <c r="D12">
        <v>10</v>
      </c>
      <c r="E12" s="4"/>
      <c r="F12" s="6"/>
      <c r="G12" s="8">
        <f t="shared" si="0"/>
        <v>273.14999999999998</v>
      </c>
      <c r="H12" s="9"/>
      <c r="I12" s="11">
        <f t="shared" si="1"/>
        <v>0</v>
      </c>
      <c r="J12" s="12"/>
      <c r="K12" s="14">
        <f t="shared" si="2"/>
        <v>245.6</v>
      </c>
      <c r="L12" s="15">
        <f t="shared" si="3"/>
        <v>0.24559999999999998</v>
      </c>
      <c r="M12" s="35">
        <f t="shared" si="4"/>
        <v>0.12701560000000001</v>
      </c>
      <c r="N12" s="35">
        <f t="shared" si="5"/>
        <v>6.4239372576057871E-2</v>
      </c>
      <c r="O12" s="35">
        <f t="shared" si="6"/>
        <v>6.5273831281881745E-2</v>
      </c>
    </row>
    <row r="13" spans="1:15">
      <c r="D13">
        <v>11</v>
      </c>
      <c r="E13" s="4"/>
      <c r="F13" s="6"/>
      <c r="G13" s="8">
        <f t="shared" si="0"/>
        <v>273.14999999999998</v>
      </c>
      <c r="H13" s="9"/>
      <c r="I13" s="11">
        <f t="shared" si="1"/>
        <v>0</v>
      </c>
      <c r="J13" s="12"/>
      <c r="K13" s="14">
        <f t="shared" si="2"/>
        <v>245.6</v>
      </c>
      <c r="L13" s="15">
        <f t="shared" si="3"/>
        <v>0.24559999999999998</v>
      </c>
      <c r="M13" s="35">
        <f t="shared" si="4"/>
        <v>0.12701560000000001</v>
      </c>
      <c r="N13" s="35">
        <f t="shared" si="5"/>
        <v>6.4239372576057871E-2</v>
      </c>
      <c r="O13" s="35">
        <f t="shared" si="6"/>
        <v>6.5273831281881745E-2</v>
      </c>
    </row>
    <row r="14" spans="1:15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245.6</v>
      </c>
      <c r="L14" s="15">
        <f t="shared" si="3"/>
        <v>0.24559999999999998</v>
      </c>
      <c r="M14">
        <f t="shared" si="4"/>
        <v>0.12701560000000001</v>
      </c>
      <c r="N14">
        <f t="shared" si="5"/>
        <v>6.4239372576057871E-2</v>
      </c>
      <c r="O14">
        <f t="shared" si="6"/>
        <v>6.5273831281881745E-2</v>
      </c>
    </row>
    <row r="15" spans="1:15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245.6</v>
      </c>
      <c r="L15" s="15">
        <f t="shared" si="3"/>
        <v>0.24559999999999998</v>
      </c>
      <c r="M15">
        <f t="shared" si="4"/>
        <v>0.12701560000000001</v>
      </c>
      <c r="N15">
        <f t="shared" si="5"/>
        <v>6.4239372576057871E-2</v>
      </c>
      <c r="O15">
        <f t="shared" si="6"/>
        <v>6.5273831281881745E-2</v>
      </c>
    </row>
    <row r="16" spans="1:15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245.6</v>
      </c>
      <c r="L16" s="15">
        <f t="shared" si="3"/>
        <v>0.24559999999999998</v>
      </c>
      <c r="M16">
        <f t="shared" si="4"/>
        <v>0.12701560000000001</v>
      </c>
      <c r="N16">
        <f t="shared" si="5"/>
        <v>6.4239372576057871E-2</v>
      </c>
      <c r="O16">
        <f t="shared" si="6"/>
        <v>6.5273831281881745E-2</v>
      </c>
    </row>
    <row r="17" spans="1:15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245.6</v>
      </c>
      <c r="L17" s="15">
        <f t="shared" si="3"/>
        <v>0.24559999999999998</v>
      </c>
      <c r="M17">
        <f t="shared" si="4"/>
        <v>0.12701560000000001</v>
      </c>
      <c r="N17">
        <f t="shared" si="5"/>
        <v>6.4239372576057871E-2</v>
      </c>
      <c r="O17">
        <f t="shared" si="6"/>
        <v>6.5273831281881745E-2</v>
      </c>
    </row>
    <row r="18" spans="1:15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245.6</v>
      </c>
      <c r="L18" s="15">
        <f t="shared" si="3"/>
        <v>0.24559999999999998</v>
      </c>
      <c r="M18">
        <f t="shared" si="4"/>
        <v>0.12701560000000001</v>
      </c>
      <c r="N18">
        <f t="shared" si="5"/>
        <v>6.4239372576057871E-2</v>
      </c>
      <c r="O18">
        <f t="shared" si="6"/>
        <v>6.5273831281881745E-2</v>
      </c>
    </row>
    <row r="22" spans="1:15">
      <c r="I22" s="3"/>
      <c r="M22" t="s">
        <v>31</v>
      </c>
    </row>
    <row r="23" spans="1:15">
      <c r="M23" s="4" t="s">
        <v>18</v>
      </c>
    </row>
    <row r="24" spans="1:15">
      <c r="A24" t="s">
        <v>27</v>
      </c>
      <c r="M24" s="6" t="s">
        <v>19</v>
      </c>
    </row>
    <row r="25" spans="1:15">
      <c r="A25" s="16" t="s">
        <v>26</v>
      </c>
      <c r="B25">
        <f>SLOPE(M4:M11,L4:L11)</f>
        <v>402130.41656981403</v>
      </c>
      <c r="M25" s="8" t="s">
        <v>36</v>
      </c>
    </row>
    <row r="26" spans="1:15">
      <c r="A26" s="16" t="s">
        <v>28</v>
      </c>
      <c r="B26">
        <f>INTERCEPT(M4:M11,L4:L11)</f>
        <v>-1026.3060407657276</v>
      </c>
      <c r="M26" s="9" t="s">
        <v>20</v>
      </c>
    </row>
    <row r="27" spans="1:15" ht="16">
      <c r="A27" s="16" t="s">
        <v>32</v>
      </c>
      <c r="B27">
        <f>-B26/B25</f>
        <v>2.5521721274410244E-3</v>
      </c>
      <c r="M27" s="11" t="s">
        <v>37</v>
      </c>
      <c r="N27" s="11"/>
    </row>
    <row r="28" spans="1:15">
      <c r="A28" s="16" t="s">
        <v>29</v>
      </c>
      <c r="B28">
        <f>((B27*B2)/B1)*1000000</f>
        <v>2105.7525803968847</v>
      </c>
      <c r="M28" s="12" t="s">
        <v>21</v>
      </c>
    </row>
    <row r="29" spans="1:15">
      <c r="M29" s="14" t="s">
        <v>35</v>
      </c>
    </row>
    <row r="30" spans="1:15">
      <c r="M30" s="15" t="s">
        <v>22</v>
      </c>
    </row>
    <row r="31" spans="1:15">
      <c r="M31" t="s">
        <v>23</v>
      </c>
    </row>
    <row r="32" spans="1:15">
      <c r="M32" s="16" t="s">
        <v>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am1</vt:lpstr>
      <vt:lpstr>am2</vt:lpstr>
      <vt:lpstr>8Cg-1 pm</vt:lpstr>
      <vt:lpstr>4Cg-2 pm</vt:lpstr>
      <vt:lpstr>4Cg-1 24h</vt:lpstr>
      <vt:lpstr>4Cg-2 24h</vt:lpstr>
      <vt:lpstr>8Cg-1 24h</vt:lpstr>
      <vt:lpstr>8Cg-2 24h</vt:lpstr>
      <vt:lpstr>start 111011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2011-06-17T00:44:38Z</dcterms:created>
  <dcterms:modified xsi:type="dcterms:W3CDTF">2011-11-11T18:18:04Z</dcterms:modified>
</cp:coreProperties>
</file>